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66\Desktop\"/>
    </mc:Choice>
  </mc:AlternateContent>
  <bookViews>
    <workbookView xWindow="0" yWindow="120" windowWidth="22980" windowHeight="9030" firstSheet="1" activeTab="1"/>
  </bookViews>
  <sheets>
    <sheet name="Проект программы 21-23" sheetId="1" r:id="rId1"/>
    <sheet name="БКАД" sheetId="2" r:id="rId2"/>
    <sheet name="ДОРОЖНЫЙ ПРИЗЫВ" sheetId="3" r:id="rId3"/>
    <sheet name="План закупок 2021" sheetId="4" r:id="rId4"/>
  </sheets>
  <externalReferences>
    <externalReference r:id="rId5"/>
    <externalReference r:id="rId6"/>
  </externalReferences>
  <definedNames>
    <definedName name="_xlnm._FilterDatabase" localSheetId="2" hidden="1">'ДОРОЖНЫЙ ПРИЗЫВ'!$A$7:$O$28</definedName>
    <definedName name="_xlnm._FilterDatabase" localSheetId="0" hidden="1">'Проект программы 21-23'!$A$6:$T$294</definedName>
    <definedName name="АА169" localSheetId="2">'ДОРОЖНЫЙ ПРИЗЫВ'!#REF!</definedName>
    <definedName name="АА169" localSheetId="0">'Проект программы 21-23'!#REF!</definedName>
    <definedName name="АА169">'[1]План 2019 -2021 ФКУ Каспий '!$G$152:$O$152</definedName>
    <definedName name="_xlnm.Print_Titles" localSheetId="2">'ДОРОЖНЫЙ ПРИЗЫВ'!$4:$6</definedName>
    <definedName name="_xlnm.Print_Titles" localSheetId="3">'План закупок 2021'!$12:$15</definedName>
    <definedName name="_xlnm.Print_Titles" localSheetId="0">'Проект программы 21-23'!$3:$5</definedName>
    <definedName name="Индекс_деф_2017">'[2]Исходные данные'!$B$24</definedName>
    <definedName name="Индекс_деф_2018">'[2]Исходные данные'!$B$25</definedName>
    <definedName name="Индекс_деф_2019">'[2]Исходные данные'!$B$26</definedName>
    <definedName name="Индекс_деф_2020">'[2]Исходные данные'!$B$27</definedName>
    <definedName name="Индекс_деф_2021">'[2]Исходные данные'!$B$28</definedName>
    <definedName name="ййййй" localSheetId="2">#REF!</definedName>
    <definedName name="ййййй" localSheetId="0">#REF!</definedName>
    <definedName name="ййййй">#REF!</definedName>
    <definedName name="Кап_р_II_кат_СКФО_658">'[2]Исходные данные'!$B$5</definedName>
    <definedName name="Кап_р_II_кат_ЮФО_539">'[2]Исходные данные'!$G$5</definedName>
    <definedName name="Кап_р_II_кат_ЮФО_658">'[2]Исходные данные'!$D$5</definedName>
    <definedName name="Кап_р_III_кат_СКФО_658">'[2]Исходные данные'!$B$6</definedName>
    <definedName name="Кап_р_III_кат_ЮФО_539">'[2]Исходные данные'!$G$6</definedName>
    <definedName name="Кап_р_III_кат_ЮФО_658">'[2]Исходные данные'!$D$6</definedName>
    <definedName name="_xlnm.Print_Area" localSheetId="1">БКАД!$A$1:$K$20</definedName>
    <definedName name="_xlnm.Print_Area" localSheetId="2">'ДОРОЖНЫЙ ПРИЗЫВ'!$A$1:$O$34</definedName>
    <definedName name="_xlnm.Print_Area" localSheetId="3">'План закупок 2021'!$A$1:$AA$86</definedName>
    <definedName name="_xlnm.Print_Area" localSheetId="0">'Проект программы 21-23'!$A$1:$T$374</definedName>
    <definedName name="Рем_1_кат_2018" localSheetId="2">#REF!</definedName>
    <definedName name="Рем_1_кат_2018" localSheetId="0">#REF!</definedName>
    <definedName name="Рем_1_кат_2018">#REF!</definedName>
    <definedName name="Рем_1_кат_СКФО_658">'[2]Исходные данные'!$B$11</definedName>
    <definedName name="Рем_2_кат_2018" localSheetId="2">#REF!</definedName>
    <definedName name="Рем_2_кат_2018" localSheetId="0">#REF!</definedName>
    <definedName name="Рем_2_кат_2018">#REF!</definedName>
    <definedName name="Рем_2_кат_СКФО_539">'[2]Исходные данные'!$E$12</definedName>
    <definedName name="Рем_2_кат_СКФО_658">'[2]Исходные данные'!$B$12</definedName>
    <definedName name="Рем_2_кат_ЮФО_539">'[2]Исходные данные'!$G$12</definedName>
    <definedName name="Рем_2_кат_ЮФО_658">'[2]Исходные данные'!$D$12</definedName>
    <definedName name="Рем_3_кат_2018" localSheetId="2">#REF!</definedName>
    <definedName name="Рем_3_кат_2018" localSheetId="0">#REF!</definedName>
    <definedName name="Рем_3_кат_2018">#REF!</definedName>
    <definedName name="Рем_3_кат_СКФО_658">'[2]Исходные данные'!$B$13</definedName>
    <definedName name="Рем_3_кат_ЮФО_539">'[2]Исходные данные'!$G$13</definedName>
    <definedName name="Рем_3_кат_ЮФО_658">'[2]Исходные данные'!$D$13</definedName>
    <definedName name="Рем_4_кат_2018" localSheetId="2">#REF!</definedName>
    <definedName name="Рем_4_кат_2018" localSheetId="0">#REF!</definedName>
    <definedName name="Рем_4_кат_2018">#REF!</definedName>
    <definedName name="Рем_4_кат_ЮФО_658">'[2]Исходные данные'!$D$14</definedName>
    <definedName name="Рем_5_кат_2018" localSheetId="2">#REF!</definedName>
    <definedName name="Рем_5_кат_2018" localSheetId="0">#REF!</definedName>
    <definedName name="Рем_5_кат_2018">#REF!</definedName>
    <definedName name="стоимость_км_I_категория" localSheetId="2">#REF!</definedName>
    <definedName name="стоимость_км_I_категория" localSheetId="0">#REF!</definedName>
    <definedName name="стоимость_км_I_категория">#REF!</definedName>
    <definedName name="стоимость_км_II_категория" localSheetId="2">#REF!</definedName>
    <definedName name="стоимость_км_II_категория" localSheetId="0">#REF!</definedName>
    <definedName name="стоимость_км_II_категория">#REF!</definedName>
    <definedName name="стоимость_км_III_категория" localSheetId="2">#REF!</definedName>
    <definedName name="стоимость_км_III_категория" localSheetId="0">#REF!</definedName>
    <definedName name="стоимость_км_III_категория">#REF!</definedName>
    <definedName name="стоимость_км_IV_категория" localSheetId="2">#REF!</definedName>
    <definedName name="стоимость_км_IV_категория" localSheetId="0">#REF!</definedName>
    <definedName name="стоимость_км_IV_категория">#REF!</definedName>
    <definedName name="стоимость_км_V_категория" localSheetId="2">#REF!</definedName>
    <definedName name="стоимость_км_V_категория" localSheetId="0">#REF!</definedName>
    <definedName name="стоимость_км_V_категория">#REF!</definedName>
  </definedNames>
  <calcPr calcId="152511"/>
</workbook>
</file>

<file path=xl/calcChain.xml><?xml version="1.0" encoding="utf-8"?>
<calcChain xmlns="http://schemas.openxmlformats.org/spreadsheetml/2006/main">
  <c r="J18" i="2" l="1"/>
  <c r="E18" i="2" l="1"/>
  <c r="G8" i="3" l="1"/>
  <c r="G29" i="3" s="1"/>
  <c r="H8" i="3"/>
  <c r="H29" i="3" s="1"/>
  <c r="I48" i="4" l="1"/>
  <c r="Q10" i="3"/>
  <c r="L10" i="3" s="1"/>
  <c r="I72" i="4"/>
  <c r="I17" i="4"/>
  <c r="I49" i="4" l="1"/>
  <c r="E85" i="4"/>
  <c r="I74" i="4"/>
  <c r="I73" i="4"/>
  <c r="I53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1" i="4"/>
  <c r="I50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6" i="4"/>
  <c r="A78" i="4"/>
  <c r="N54" i="4"/>
  <c r="A50" i="4"/>
  <c r="A51" i="4" s="1"/>
  <c r="B47" i="4"/>
  <c r="B49" i="4" s="1"/>
  <c r="B50" i="4" s="1"/>
  <c r="B51" i="4" s="1"/>
  <c r="A35" i="4"/>
  <c r="B31" i="4"/>
  <c r="B33" i="4" s="1"/>
  <c r="B26" i="4"/>
  <c r="B43" i="4" s="1"/>
  <c r="A26" i="4"/>
  <c r="A27" i="4" s="1"/>
  <c r="B24" i="4"/>
  <c r="B25" i="4" s="1"/>
  <c r="A24" i="4"/>
  <c r="A25" i="4" s="1"/>
  <c r="B22" i="4"/>
  <c r="B23" i="4" s="1"/>
  <c r="A22" i="4"/>
  <c r="A23" i="4" s="1"/>
  <c r="A20" i="4"/>
  <c r="A18" i="4"/>
  <c r="B17" i="4"/>
  <c r="B18" i="4" s="1"/>
  <c r="B32" i="4" l="1"/>
  <c r="B27" i="4"/>
  <c r="I85" i="4"/>
  <c r="W99" i="4" s="1"/>
  <c r="B20" i="4"/>
  <c r="B45" i="4"/>
  <c r="B46" i="4" s="1"/>
  <c r="B44" i="4"/>
  <c r="B42" i="4"/>
  <c r="B34" i="4"/>
  <c r="B35" i="4" s="1"/>
  <c r="B52" i="4"/>
  <c r="B53" i="4" s="1"/>
  <c r="B54" i="4" s="1"/>
  <c r="A28" i="4"/>
  <c r="A29" i="4" s="1"/>
  <c r="A30" i="4" s="1"/>
  <c r="A31" i="4" s="1"/>
  <c r="A43" i="4"/>
  <c r="B28" i="4"/>
  <c r="B29" i="4" s="1"/>
  <c r="A44" i="4" l="1"/>
  <c r="A45" i="4"/>
  <c r="A46" i="4" s="1"/>
  <c r="A33" i="4"/>
  <c r="A42" i="4" s="1"/>
  <c r="A32" i="4"/>
  <c r="R212" i="1"/>
  <c r="S212" i="1" s="1"/>
  <c r="M21" i="3"/>
  <c r="N21" i="3" s="1"/>
  <c r="O130" i="1"/>
  <c r="R130" i="1" s="1"/>
  <c r="S130" i="1" s="1"/>
  <c r="R201" i="1"/>
  <c r="S201" i="1" s="1"/>
  <c r="M190" i="1"/>
  <c r="N190" i="1" s="1"/>
  <c r="M28" i="3"/>
  <c r="K28" i="3"/>
  <c r="M27" i="3"/>
  <c r="I27" i="3"/>
  <c r="M26" i="3"/>
  <c r="G26" i="3"/>
  <c r="M25" i="3"/>
  <c r="G25" i="3"/>
  <c r="M24" i="3"/>
  <c r="G24" i="3"/>
  <c r="M23" i="3"/>
  <c r="I23" i="3"/>
  <c r="M22" i="3"/>
  <c r="G22" i="3"/>
  <c r="M20" i="3"/>
  <c r="N20" i="3" s="1"/>
  <c r="M19" i="3"/>
  <c r="N19" i="3" s="1"/>
  <c r="M18" i="3"/>
  <c r="N18" i="3" s="1"/>
  <c r="N17" i="3"/>
  <c r="N16" i="3"/>
  <c r="N15" i="3"/>
  <c r="N14" i="3"/>
  <c r="N13" i="3"/>
  <c r="M11" i="3"/>
  <c r="N11" i="3" s="1"/>
  <c r="J12" i="3" s="1"/>
  <c r="N10" i="3"/>
  <c r="M10" i="3"/>
  <c r="L8" i="3"/>
  <c r="L29" i="3" s="1"/>
  <c r="K8" i="3"/>
  <c r="K29" i="3" s="1"/>
  <c r="I8" i="3"/>
  <c r="I29" i="3" s="1"/>
  <c r="N12" i="3" l="1"/>
  <c r="M12" i="3"/>
  <c r="N9" i="3"/>
  <c r="M9" i="3"/>
  <c r="M8" i="3" s="1"/>
  <c r="M29" i="3" s="1"/>
  <c r="J8" i="3"/>
  <c r="J29" i="3" s="1"/>
  <c r="A47" i="1" l="1"/>
  <c r="A48" i="1" s="1"/>
  <c r="A49" i="1" s="1"/>
  <c r="A50" i="1" s="1"/>
  <c r="A51" i="1" s="1"/>
  <c r="A52" i="1" s="1"/>
  <c r="A53" i="1" s="1"/>
  <c r="A54" i="1" s="1"/>
  <c r="A55" i="1" s="1"/>
  <c r="A56" i="1" s="1"/>
  <c r="A35" i="1"/>
  <c r="A36" i="1" s="1"/>
  <c r="A37" i="1" s="1"/>
  <c r="A38" i="1" s="1"/>
  <c r="A39" i="1" s="1"/>
  <c r="A40" i="1" s="1"/>
  <c r="A41" i="1" s="1"/>
  <c r="A42" i="1" s="1"/>
  <c r="A43" i="1" s="1"/>
  <c r="A44" i="1" s="1"/>
  <c r="L286" i="1"/>
  <c r="L249" i="1" s="1"/>
  <c r="L18" i="1" s="1"/>
  <c r="L15" i="1" s="1"/>
  <c r="L8" i="1" s="1"/>
  <c r="N250" i="1"/>
  <c r="N246" i="1" s="1"/>
  <c r="O250" i="1"/>
  <c r="O246" i="1" s="1"/>
  <c r="P250" i="1"/>
  <c r="Q250" i="1"/>
  <c r="Q246" i="1" s="1"/>
  <c r="R244" i="1"/>
  <c r="R350" i="1"/>
  <c r="A345" i="1"/>
  <c r="A346" i="1" s="1"/>
  <c r="A347" i="1" s="1"/>
  <c r="A348" i="1" s="1"/>
  <c r="A349" i="1" s="1"/>
  <c r="A350" i="1" s="1"/>
  <c r="A351" i="1" s="1"/>
  <c r="A352" i="1" s="1"/>
  <c r="A353" i="1" s="1"/>
  <c r="R349" i="1"/>
  <c r="M343" i="1"/>
  <c r="P246" i="1"/>
  <c r="Q259" i="1"/>
  <c r="O259" i="1"/>
  <c r="M259" i="1"/>
  <c r="M248" i="1" s="1"/>
  <c r="M250" i="1"/>
  <c r="N125" i="1"/>
  <c r="O125" i="1"/>
  <c r="P125" i="1"/>
  <c r="Q125" i="1"/>
  <c r="L125" i="1"/>
  <c r="M125" i="1"/>
  <c r="N122" i="1"/>
  <c r="N118" i="1" s="1"/>
  <c r="O122" i="1"/>
  <c r="O118" i="1" s="1"/>
  <c r="P122" i="1"/>
  <c r="P118" i="1" s="1"/>
  <c r="Q122" i="1"/>
  <c r="Q118" i="1" s="1"/>
  <c r="L122" i="1"/>
  <c r="L118" i="1" s="1"/>
  <c r="M122" i="1"/>
  <c r="M118" i="1" s="1"/>
  <c r="R124" i="1"/>
  <c r="R127" i="1"/>
  <c r="S127" i="1" s="1"/>
  <c r="M140" i="1"/>
  <c r="R140" i="1" s="1"/>
  <c r="R132" i="1"/>
  <c r="S132" i="1" s="1"/>
  <c r="A140" i="1"/>
  <c r="R126" i="1"/>
  <c r="S126" i="1" s="1"/>
  <c r="M33" i="1" l="1"/>
  <c r="R27" i="1"/>
  <c r="Q27" i="1"/>
  <c r="O27" i="1"/>
  <c r="M27" i="1"/>
  <c r="S43" i="1"/>
  <c r="R77" i="1" l="1"/>
  <c r="R87" i="1"/>
  <c r="R54" i="1" l="1"/>
  <c r="R55" i="1"/>
  <c r="R42" i="1"/>
  <c r="S42" i="1" s="1"/>
  <c r="R43" i="1"/>
  <c r="M45" i="1" l="1"/>
  <c r="O33" i="1"/>
  <c r="Q33" i="1"/>
  <c r="L33" i="1"/>
  <c r="N27" i="1"/>
  <c r="P27" i="1"/>
  <c r="S36" i="1" l="1"/>
  <c r="S28" i="1" l="1"/>
  <c r="S30" i="1"/>
  <c r="S31" i="1"/>
  <c r="S32" i="1"/>
  <c r="S29" i="1"/>
  <c r="L27" i="1"/>
  <c r="S25" i="1"/>
  <c r="A252" i="1"/>
  <c r="A253" i="1" s="1"/>
  <c r="A254" i="1" s="1"/>
  <c r="A255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R338" i="1" l="1"/>
  <c r="S338" i="1" s="1"/>
  <c r="A192" i="1"/>
  <c r="A193" i="1" s="1"/>
  <c r="A194" i="1" s="1"/>
  <c r="A195" i="1" s="1"/>
  <c r="A196" i="1" s="1"/>
  <c r="A197" i="1" s="1"/>
  <c r="A198" i="1" s="1"/>
  <c r="A199" i="1" s="1"/>
  <c r="A200" i="1" s="1"/>
  <c r="R203" i="1"/>
  <c r="S203" i="1" s="1"/>
  <c r="A141" i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O369" i="1"/>
  <c r="M368" i="1"/>
  <c r="R367" i="1"/>
  <c r="R366" i="1"/>
  <c r="O365" i="1"/>
  <c r="Q365" i="1" s="1"/>
  <c r="R365" i="1" s="1"/>
  <c r="R364" i="1"/>
  <c r="O363" i="1"/>
  <c r="O362" i="1"/>
  <c r="O361" i="1"/>
  <c r="O360" i="1"/>
  <c r="Q360" i="1" s="1"/>
  <c r="R360" i="1" s="1"/>
  <c r="O359" i="1"/>
  <c r="Q359" i="1" s="1"/>
  <c r="R359" i="1" s="1"/>
  <c r="O358" i="1"/>
  <c r="O357" i="1"/>
  <c r="Q357" i="1" s="1"/>
  <c r="O356" i="1"/>
  <c r="O355" i="1"/>
  <c r="R353" i="1"/>
  <c r="R352" i="1"/>
  <c r="R351" i="1"/>
  <c r="R348" i="1"/>
  <c r="R347" i="1"/>
  <c r="R346" i="1"/>
  <c r="R345" i="1"/>
  <c r="R344" i="1"/>
  <c r="M340" i="1"/>
  <c r="R342" i="1"/>
  <c r="Q342" i="1"/>
  <c r="P342" i="1"/>
  <c r="O342" i="1"/>
  <c r="N342" i="1"/>
  <c r="M342" i="1"/>
  <c r="L342" i="1"/>
  <c r="P341" i="1"/>
  <c r="N341" i="1"/>
  <c r="L341" i="1"/>
  <c r="Q340" i="1"/>
  <c r="P340" i="1"/>
  <c r="O340" i="1"/>
  <c r="N340" i="1"/>
  <c r="L340" i="1"/>
  <c r="R337" i="1"/>
  <c r="S337" i="1" s="1"/>
  <c r="R336" i="1"/>
  <c r="S336" i="1" s="1"/>
  <c r="R335" i="1"/>
  <c r="S335" i="1" s="1"/>
  <c r="R334" i="1"/>
  <c r="S334" i="1" s="1"/>
  <c r="R333" i="1"/>
  <c r="S333" i="1" s="1"/>
  <c r="R332" i="1"/>
  <c r="S332" i="1" s="1"/>
  <c r="R331" i="1"/>
  <c r="S331" i="1" s="1"/>
  <c r="R330" i="1"/>
  <c r="S330" i="1" s="1"/>
  <c r="R329" i="1"/>
  <c r="S329" i="1" s="1"/>
  <c r="R328" i="1"/>
  <c r="S328" i="1" s="1"/>
  <c r="R327" i="1"/>
  <c r="S327" i="1" s="1"/>
  <c r="R326" i="1"/>
  <c r="S326" i="1" s="1"/>
  <c r="R325" i="1"/>
  <c r="S325" i="1" s="1"/>
  <c r="R324" i="1"/>
  <c r="S324" i="1" s="1"/>
  <c r="R323" i="1"/>
  <c r="S323" i="1" s="1"/>
  <c r="R322" i="1"/>
  <c r="S322" i="1" s="1"/>
  <c r="M321" i="1"/>
  <c r="R321" i="1" s="1"/>
  <c r="S321" i="1" s="1"/>
  <c r="R320" i="1"/>
  <c r="S320" i="1" s="1"/>
  <c r="R319" i="1"/>
  <c r="S319" i="1" s="1"/>
  <c r="M318" i="1"/>
  <c r="R318" i="1" s="1"/>
  <c r="S318" i="1" s="1"/>
  <c r="M317" i="1"/>
  <c r="R317" i="1" s="1"/>
  <c r="S317" i="1" s="1"/>
  <c r="R316" i="1"/>
  <c r="S316" i="1" s="1"/>
  <c r="R315" i="1"/>
  <c r="S315" i="1" s="1"/>
  <c r="R314" i="1"/>
  <c r="S314" i="1" s="1"/>
  <c r="M313" i="1"/>
  <c r="R313" i="1" s="1"/>
  <c r="S313" i="1" s="1"/>
  <c r="M312" i="1"/>
  <c r="R312" i="1" s="1"/>
  <c r="S312" i="1" s="1"/>
  <c r="M311" i="1"/>
  <c r="R311" i="1" s="1"/>
  <c r="S311" i="1" s="1"/>
  <c r="M310" i="1"/>
  <c r="R310" i="1" s="1"/>
  <c r="S310" i="1" s="1"/>
  <c r="R309" i="1"/>
  <c r="S309" i="1" s="1"/>
  <c r="R308" i="1"/>
  <c r="S308" i="1" s="1"/>
  <c r="R307" i="1"/>
  <c r="S307" i="1" s="1"/>
  <c r="R306" i="1"/>
  <c r="S306" i="1" s="1"/>
  <c r="R305" i="1"/>
  <c r="S305" i="1" s="1"/>
  <c r="R304" i="1"/>
  <c r="S304" i="1" s="1"/>
  <c r="R303" i="1"/>
  <c r="S303" i="1" s="1"/>
  <c r="M302" i="1"/>
  <c r="R302" i="1" s="1"/>
  <c r="S302" i="1" s="1"/>
  <c r="R301" i="1"/>
  <c r="S301" i="1" s="1"/>
  <c r="R300" i="1"/>
  <c r="S300" i="1" s="1"/>
  <c r="R299" i="1"/>
  <c r="S299" i="1" s="1"/>
  <c r="R298" i="1"/>
  <c r="S298" i="1" s="1"/>
  <c r="M297" i="1"/>
  <c r="R297" i="1" s="1"/>
  <c r="S297" i="1" s="1"/>
  <c r="R296" i="1"/>
  <c r="S296" i="1" s="1"/>
  <c r="R295" i="1"/>
  <c r="S295" i="1" s="1"/>
  <c r="M294" i="1"/>
  <c r="R293" i="1"/>
  <c r="S293" i="1" s="1"/>
  <c r="R292" i="1"/>
  <c r="S292" i="1" s="1"/>
  <c r="R291" i="1"/>
  <c r="S291" i="1" s="1"/>
  <c r="R290" i="1"/>
  <c r="S290" i="1" s="1"/>
  <c r="R289" i="1"/>
  <c r="S289" i="1" s="1"/>
  <c r="R288" i="1"/>
  <c r="S288" i="1" s="1"/>
  <c r="R287" i="1"/>
  <c r="Q286" i="1"/>
  <c r="Q249" i="1" s="1"/>
  <c r="O286" i="1"/>
  <c r="O249" i="1" s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5" i="1"/>
  <c r="R254" i="1"/>
  <c r="R253" i="1"/>
  <c r="R252" i="1"/>
  <c r="R251" i="1"/>
  <c r="U250" i="1"/>
  <c r="Q248" i="1"/>
  <c r="P248" i="1"/>
  <c r="N248" i="1"/>
  <c r="L248" i="1"/>
  <c r="R247" i="1"/>
  <c r="Q247" i="1"/>
  <c r="P247" i="1"/>
  <c r="O247" i="1"/>
  <c r="N247" i="1"/>
  <c r="M247" i="1"/>
  <c r="L247" i="1"/>
  <c r="M246" i="1"/>
  <c r="L246" i="1"/>
  <c r="R237" i="1"/>
  <c r="S237" i="1" s="1"/>
  <c r="R240" i="1"/>
  <c r="R243" i="1"/>
  <c r="S243" i="1" s="1"/>
  <c r="R242" i="1"/>
  <c r="S242" i="1" s="1"/>
  <c r="R239" i="1"/>
  <c r="S239" i="1" s="1"/>
  <c r="R238" i="1"/>
  <c r="S238" i="1" s="1"/>
  <c r="R236" i="1"/>
  <c r="S236" i="1" s="1"/>
  <c r="R235" i="1"/>
  <c r="L235" i="1"/>
  <c r="R241" i="1"/>
  <c r="Q234" i="1"/>
  <c r="R234" i="1" s="1"/>
  <c r="S234" i="1" s="1"/>
  <c r="Q233" i="1"/>
  <c r="R233" i="1" s="1"/>
  <c r="S233" i="1" s="1"/>
  <c r="Q232" i="1"/>
  <c r="R232" i="1" s="1"/>
  <c r="S232" i="1" s="1"/>
  <c r="Q231" i="1"/>
  <c r="R231" i="1" s="1"/>
  <c r="S231" i="1" s="1"/>
  <c r="Q230" i="1"/>
  <c r="R230" i="1" s="1"/>
  <c r="S230" i="1" s="1"/>
  <c r="R229" i="1"/>
  <c r="S229" i="1" s="1"/>
  <c r="Q228" i="1"/>
  <c r="R228" i="1" s="1"/>
  <c r="P228" i="1"/>
  <c r="R227" i="1"/>
  <c r="S227" i="1" s="1"/>
  <c r="R226" i="1"/>
  <c r="S226" i="1" s="1"/>
  <c r="R225" i="1"/>
  <c r="R224" i="1"/>
  <c r="S224" i="1" s="1"/>
  <c r="R223" i="1"/>
  <c r="S223" i="1" s="1"/>
  <c r="R222" i="1"/>
  <c r="S222" i="1" s="1"/>
  <c r="R221" i="1"/>
  <c r="S221" i="1" s="1"/>
  <c r="R220" i="1"/>
  <c r="S220" i="1" s="1"/>
  <c r="R219" i="1"/>
  <c r="S219" i="1" s="1"/>
  <c r="O218" i="1"/>
  <c r="R218" i="1" s="1"/>
  <c r="N218" i="1"/>
  <c r="N189" i="1" s="1"/>
  <c r="N121" i="1" s="1"/>
  <c r="R217" i="1"/>
  <c r="S217" i="1" s="1"/>
  <c r="R216" i="1"/>
  <c r="S216" i="1" s="1"/>
  <c r="R215" i="1"/>
  <c r="S215" i="1" s="1"/>
  <c r="R214" i="1"/>
  <c r="S214" i="1" s="1"/>
  <c r="R213" i="1"/>
  <c r="S213" i="1" s="1"/>
  <c r="R211" i="1"/>
  <c r="S211" i="1" s="1"/>
  <c r="R210" i="1"/>
  <c r="P210" i="1"/>
  <c r="R209" i="1"/>
  <c r="S209" i="1" s="1"/>
  <c r="R208" i="1"/>
  <c r="S208" i="1" s="1"/>
  <c r="R207" i="1"/>
  <c r="S207" i="1" s="1"/>
  <c r="R206" i="1"/>
  <c r="S206" i="1" s="1"/>
  <c r="R205" i="1"/>
  <c r="S205" i="1" s="1"/>
  <c r="R204" i="1"/>
  <c r="S204" i="1" s="1"/>
  <c r="R200" i="1"/>
  <c r="S200" i="1" s="1"/>
  <c r="R202" i="1"/>
  <c r="S202" i="1" s="1"/>
  <c r="Q193" i="1"/>
  <c r="R193" i="1" s="1"/>
  <c r="S193" i="1" s="1"/>
  <c r="R198" i="1"/>
  <c r="S198" i="1" s="1"/>
  <c r="O199" i="1"/>
  <c r="R199" i="1" s="1"/>
  <c r="S199" i="1" s="1"/>
  <c r="O197" i="1"/>
  <c r="R196" i="1"/>
  <c r="S196" i="1" s="1"/>
  <c r="R195" i="1"/>
  <c r="S195" i="1" s="1"/>
  <c r="R192" i="1"/>
  <c r="S192" i="1" s="1"/>
  <c r="R194" i="1"/>
  <c r="S194" i="1" s="1"/>
  <c r="R191" i="1"/>
  <c r="M189" i="1"/>
  <c r="M121" i="1" s="1"/>
  <c r="R165" i="1"/>
  <c r="O187" i="1"/>
  <c r="R187" i="1" s="1"/>
  <c r="O186" i="1"/>
  <c r="R186" i="1" s="1"/>
  <c r="O185" i="1"/>
  <c r="R185" i="1" s="1"/>
  <c r="O184" i="1"/>
  <c r="R184" i="1" s="1"/>
  <c r="O183" i="1"/>
  <c r="R183" i="1" s="1"/>
  <c r="M162" i="1"/>
  <c r="R162" i="1" s="1"/>
  <c r="O182" i="1"/>
  <c r="R182" i="1" s="1"/>
  <c r="O181" i="1"/>
  <c r="R181" i="1" s="1"/>
  <c r="O180" i="1"/>
  <c r="R180" i="1" s="1"/>
  <c r="O179" i="1"/>
  <c r="R179" i="1" s="1"/>
  <c r="M164" i="1"/>
  <c r="R164" i="1" s="1"/>
  <c r="M163" i="1"/>
  <c r="R163" i="1" s="1"/>
  <c r="O178" i="1"/>
  <c r="R178" i="1" s="1"/>
  <c r="O160" i="1"/>
  <c r="M160" i="1"/>
  <c r="O177" i="1"/>
  <c r="R177" i="1" s="1"/>
  <c r="O176" i="1"/>
  <c r="R176" i="1" s="1"/>
  <c r="R161" i="1"/>
  <c r="O175" i="1"/>
  <c r="R175" i="1" s="1"/>
  <c r="M159" i="1"/>
  <c r="R159" i="1" s="1"/>
  <c r="M158" i="1"/>
  <c r="R158" i="1" s="1"/>
  <c r="O174" i="1"/>
  <c r="R174" i="1" s="1"/>
  <c r="M157" i="1"/>
  <c r="R157" i="1" s="1"/>
  <c r="M156" i="1"/>
  <c r="R156" i="1" s="1"/>
  <c r="O173" i="1"/>
  <c r="R173" i="1" s="1"/>
  <c r="M155" i="1"/>
  <c r="R155" i="1" s="1"/>
  <c r="M154" i="1"/>
  <c r="R154" i="1" s="1"/>
  <c r="M153" i="1"/>
  <c r="R153" i="1" s="1"/>
  <c r="O172" i="1"/>
  <c r="R172" i="1" s="1"/>
  <c r="O171" i="1"/>
  <c r="R171" i="1" s="1"/>
  <c r="M152" i="1"/>
  <c r="R152" i="1" s="1"/>
  <c r="M151" i="1"/>
  <c r="R151" i="1" s="1"/>
  <c r="M150" i="1"/>
  <c r="R150" i="1" s="1"/>
  <c r="M149" i="1"/>
  <c r="R149" i="1" s="1"/>
  <c r="O170" i="1"/>
  <c r="R170" i="1" s="1"/>
  <c r="M148" i="1"/>
  <c r="R148" i="1" s="1"/>
  <c r="M147" i="1"/>
  <c r="R147" i="1" s="1"/>
  <c r="M146" i="1"/>
  <c r="R146" i="1" s="1"/>
  <c r="M145" i="1"/>
  <c r="R145" i="1" s="1"/>
  <c r="O169" i="1"/>
  <c r="R169" i="1" s="1"/>
  <c r="R144" i="1"/>
  <c r="M143" i="1"/>
  <c r="R143" i="1" s="1"/>
  <c r="O168" i="1"/>
  <c r="R168" i="1" s="1"/>
  <c r="O167" i="1"/>
  <c r="R167" i="1" s="1"/>
  <c r="O166" i="1"/>
  <c r="R166" i="1" s="1"/>
  <c r="M142" i="1"/>
  <c r="R142" i="1" s="1"/>
  <c r="M141" i="1"/>
  <c r="R141" i="1" s="1"/>
  <c r="M139" i="1"/>
  <c r="R139" i="1" s="1"/>
  <c r="R137" i="1"/>
  <c r="S137" i="1" s="1"/>
  <c r="R136" i="1"/>
  <c r="S136" i="1" s="1"/>
  <c r="R135" i="1"/>
  <c r="S135" i="1" s="1"/>
  <c r="R134" i="1"/>
  <c r="S134" i="1" s="1"/>
  <c r="R133" i="1"/>
  <c r="S133" i="1" s="1"/>
  <c r="R131" i="1"/>
  <c r="S131" i="1" s="1"/>
  <c r="R129" i="1"/>
  <c r="S129" i="1" s="1"/>
  <c r="R128" i="1"/>
  <c r="Q119" i="1"/>
  <c r="P119" i="1"/>
  <c r="O119" i="1"/>
  <c r="N119" i="1"/>
  <c r="M119" i="1"/>
  <c r="L119" i="1"/>
  <c r="R123" i="1"/>
  <c r="R122" i="1" s="1"/>
  <c r="U122" i="1"/>
  <c r="R120" i="1"/>
  <c r="Q120" i="1"/>
  <c r="P120" i="1"/>
  <c r="N120" i="1"/>
  <c r="L120" i="1"/>
  <c r="R113" i="1"/>
  <c r="R112" i="1"/>
  <c r="R111" i="1"/>
  <c r="R110" i="1"/>
  <c r="R109" i="1"/>
  <c r="R108" i="1"/>
  <c r="R107" i="1"/>
  <c r="O106" i="1"/>
  <c r="O94" i="1" s="1"/>
  <c r="M106" i="1"/>
  <c r="M94" i="1" s="1"/>
  <c r="R105" i="1"/>
  <c r="S105" i="1" s="1"/>
  <c r="R104" i="1"/>
  <c r="S104" i="1" s="1"/>
  <c r="R103" i="1"/>
  <c r="S103" i="1" s="1"/>
  <c r="R102" i="1"/>
  <c r="S102" i="1" s="1"/>
  <c r="R101" i="1"/>
  <c r="S101" i="1" s="1"/>
  <c r="R100" i="1"/>
  <c r="S100" i="1" s="1"/>
  <c r="R99" i="1"/>
  <c r="R98" i="1" s="1"/>
  <c r="R93" i="1" s="1"/>
  <c r="Q98" i="1"/>
  <c r="Q93" i="1" s="1"/>
  <c r="P98" i="1"/>
  <c r="P93" i="1" s="1"/>
  <c r="O98" i="1"/>
  <c r="O93" i="1" s="1"/>
  <c r="N98" i="1"/>
  <c r="N93" i="1" s="1"/>
  <c r="M98" i="1"/>
  <c r="M93" i="1" s="1"/>
  <c r="L98" i="1"/>
  <c r="L93" i="1" s="1"/>
  <c r="R96" i="1"/>
  <c r="Q96" i="1"/>
  <c r="P96" i="1"/>
  <c r="O96" i="1"/>
  <c r="N96" i="1"/>
  <c r="M96" i="1"/>
  <c r="L96" i="1"/>
  <c r="L11" i="1" s="1"/>
  <c r="R95" i="1"/>
  <c r="Q95" i="1"/>
  <c r="P95" i="1"/>
  <c r="O95" i="1"/>
  <c r="N95" i="1"/>
  <c r="M95" i="1"/>
  <c r="R94" i="1"/>
  <c r="Q94" i="1"/>
  <c r="R92" i="1"/>
  <c r="Q92" i="1"/>
  <c r="P92" i="1"/>
  <c r="O92" i="1"/>
  <c r="N92" i="1"/>
  <c r="M92" i="1"/>
  <c r="L92" i="1"/>
  <c r="R89" i="1"/>
  <c r="R62" i="1" s="1"/>
  <c r="Q89" i="1"/>
  <c r="Q62" i="1" s="1"/>
  <c r="P89" i="1"/>
  <c r="P62" i="1" s="1"/>
  <c r="O89" i="1"/>
  <c r="O62" i="1" s="1"/>
  <c r="N89" i="1"/>
  <c r="N62" i="1" s="1"/>
  <c r="M89" i="1"/>
  <c r="M62" i="1" s="1"/>
  <c r="L89" i="1"/>
  <c r="R86" i="1"/>
  <c r="R85" i="1"/>
  <c r="R84" i="1"/>
  <c r="R83" i="1"/>
  <c r="R82" i="1"/>
  <c r="R81" i="1"/>
  <c r="R80" i="1"/>
  <c r="O79" i="1"/>
  <c r="O61" i="1" s="1"/>
  <c r="M79" i="1"/>
  <c r="M61" i="1" s="1"/>
  <c r="R76" i="1"/>
  <c r="S76" i="1" s="1"/>
  <c r="R75" i="1"/>
  <c r="S75" i="1" s="1"/>
  <c r="R74" i="1"/>
  <c r="S74" i="1" s="1"/>
  <c r="R73" i="1"/>
  <c r="S73" i="1" s="1"/>
  <c r="R72" i="1"/>
  <c r="Q71" i="1"/>
  <c r="P71" i="1"/>
  <c r="O71" i="1"/>
  <c r="N71" i="1"/>
  <c r="M71" i="1"/>
  <c r="L71" i="1"/>
  <c r="R70" i="1"/>
  <c r="S70" i="1" s="1"/>
  <c r="R69" i="1"/>
  <c r="S69" i="1" s="1"/>
  <c r="R68" i="1"/>
  <c r="S68" i="1" s="1"/>
  <c r="R67" i="1"/>
  <c r="S67" i="1" s="1"/>
  <c r="R66" i="1"/>
  <c r="S66" i="1" s="1"/>
  <c r="R65" i="1"/>
  <c r="S65" i="1" s="1"/>
  <c r="Q64" i="1"/>
  <c r="P64" i="1"/>
  <c r="O64" i="1"/>
  <c r="N64" i="1"/>
  <c r="M64" i="1"/>
  <c r="L64" i="1"/>
  <c r="Q61" i="1"/>
  <c r="P61" i="1"/>
  <c r="N61" i="1"/>
  <c r="L61" i="1"/>
  <c r="R59" i="1"/>
  <c r="Q59" i="1"/>
  <c r="P59" i="1"/>
  <c r="O59" i="1"/>
  <c r="N59" i="1"/>
  <c r="M59" i="1"/>
  <c r="L59" i="1"/>
  <c r="R56" i="1"/>
  <c r="R53" i="1"/>
  <c r="R52" i="1"/>
  <c r="R51" i="1"/>
  <c r="R50" i="1"/>
  <c r="R49" i="1"/>
  <c r="R48" i="1"/>
  <c r="R47" i="1"/>
  <c r="R46" i="1"/>
  <c r="O45" i="1"/>
  <c r="O22" i="1" s="1"/>
  <c r="M22" i="1"/>
  <c r="R44" i="1"/>
  <c r="S44" i="1" s="1"/>
  <c r="R41" i="1"/>
  <c r="S41" i="1" s="1"/>
  <c r="S40" i="1"/>
  <c r="R39" i="1"/>
  <c r="S39" i="1" s="1"/>
  <c r="R38" i="1"/>
  <c r="S38" i="1" s="1"/>
  <c r="R37" i="1"/>
  <c r="S37" i="1" s="1"/>
  <c r="R35" i="1"/>
  <c r="S34" i="1"/>
  <c r="Q23" i="1"/>
  <c r="Q16" i="1" s="1"/>
  <c r="P33" i="1"/>
  <c r="P23" i="1" s="1"/>
  <c r="P16" i="1" s="1"/>
  <c r="O23" i="1"/>
  <c r="O16" i="1" s="1"/>
  <c r="N33" i="1"/>
  <c r="N23" i="1" s="1"/>
  <c r="N16" i="1" s="1"/>
  <c r="M23" i="1"/>
  <c r="M16" i="1" s="1"/>
  <c r="L23" i="1"/>
  <c r="L16" i="1" s="1"/>
  <c r="Q21" i="1"/>
  <c r="P21" i="1"/>
  <c r="O21" i="1"/>
  <c r="N21" i="1"/>
  <c r="M21" i="1"/>
  <c r="L21" i="1"/>
  <c r="Q24" i="1"/>
  <c r="Q20" i="1" s="1"/>
  <c r="Q10" i="1" s="1"/>
  <c r="P24" i="1"/>
  <c r="P20" i="1" s="1"/>
  <c r="P10" i="1" s="1"/>
  <c r="O24" i="1"/>
  <c r="O20" i="1" s="1"/>
  <c r="O10" i="1" s="1"/>
  <c r="N24" i="1"/>
  <c r="N20" i="1" s="1"/>
  <c r="N10" i="1" s="1"/>
  <c r="M24" i="1"/>
  <c r="M20" i="1" s="1"/>
  <c r="M10" i="1" s="1"/>
  <c r="L24" i="1"/>
  <c r="L20" i="1" s="1"/>
  <c r="L10" i="1" s="1"/>
  <c r="Q18" i="1" l="1"/>
  <c r="N11" i="1"/>
  <c r="O11" i="1"/>
  <c r="A201" i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M17" i="1"/>
  <c r="R294" i="1"/>
  <c r="S294" i="1" s="1"/>
  <c r="M286" i="1"/>
  <c r="M249" i="1" s="1"/>
  <c r="M18" i="1" s="1"/>
  <c r="S235" i="1"/>
  <c r="N17" i="1"/>
  <c r="N14" i="1" s="1"/>
  <c r="P11" i="1"/>
  <c r="R250" i="1"/>
  <c r="R246" i="1" s="1"/>
  <c r="Q11" i="1"/>
  <c r="O18" i="1"/>
  <c r="S191" i="1"/>
  <c r="R259" i="1"/>
  <c r="M11" i="1"/>
  <c r="U11" i="1" s="1"/>
  <c r="S128" i="1"/>
  <c r="R125" i="1"/>
  <c r="R119" i="1" s="1"/>
  <c r="O9" i="1"/>
  <c r="Q13" i="1"/>
  <c r="P9" i="1"/>
  <c r="L9" i="1"/>
  <c r="M9" i="1"/>
  <c r="U9" i="1" s="1"/>
  <c r="U12" i="1" s="1"/>
  <c r="Q9" i="1"/>
  <c r="N9" i="1"/>
  <c r="S123" i="1"/>
  <c r="R118" i="1"/>
  <c r="S72" i="1"/>
  <c r="R71" i="1"/>
  <c r="R79" i="1"/>
  <c r="R61" i="1" s="1"/>
  <c r="S35" i="1"/>
  <c r="R33" i="1"/>
  <c r="R23" i="1" s="1"/>
  <c r="R16" i="1" s="1"/>
  <c r="R286" i="1"/>
  <c r="R249" i="1" s="1"/>
  <c r="R18" i="1" s="1"/>
  <c r="M19" i="1"/>
  <c r="Q19" i="1"/>
  <c r="O19" i="1"/>
  <c r="L189" i="1"/>
  <c r="L121" i="1" s="1"/>
  <c r="L17" i="1" s="1"/>
  <c r="L14" i="1" s="1"/>
  <c r="L19" i="1"/>
  <c r="P19" i="1"/>
  <c r="N19" i="1"/>
  <c r="S99" i="1"/>
  <c r="S287" i="1"/>
  <c r="O138" i="1"/>
  <c r="O120" i="1" s="1"/>
  <c r="M138" i="1"/>
  <c r="M120" i="1" s="1"/>
  <c r="M117" i="1" s="1"/>
  <c r="P189" i="1"/>
  <c r="P121" i="1" s="1"/>
  <c r="P117" i="1" s="1"/>
  <c r="R21" i="1"/>
  <c r="O189" i="1"/>
  <c r="O121" i="1" s="1"/>
  <c r="O14" i="1" s="1"/>
  <c r="L245" i="1"/>
  <c r="S210" i="1"/>
  <c r="P286" i="1"/>
  <c r="P249" i="1" s="1"/>
  <c r="P18" i="1" s="1"/>
  <c r="P15" i="1" s="1"/>
  <c r="P8" i="1" s="1"/>
  <c r="P339" i="1"/>
  <c r="S218" i="1"/>
  <c r="L339" i="1"/>
  <c r="U96" i="1"/>
  <c r="O60" i="1"/>
  <c r="O58" i="1" s="1"/>
  <c r="P60" i="1"/>
  <c r="P58" i="1" s="1"/>
  <c r="O91" i="1"/>
  <c r="R160" i="1"/>
  <c r="Q91" i="1"/>
  <c r="P91" i="1"/>
  <c r="S228" i="1"/>
  <c r="N286" i="1"/>
  <c r="N249" i="1" s="1"/>
  <c r="N18" i="1" s="1"/>
  <c r="N15" i="1" s="1"/>
  <c r="N8" i="1" s="1"/>
  <c r="N339" i="1"/>
  <c r="N117" i="1"/>
  <c r="Q245" i="1"/>
  <c r="N91" i="1"/>
  <c r="Q60" i="1"/>
  <c r="Q58" i="1" s="1"/>
  <c r="L60" i="1"/>
  <c r="L12" i="1" s="1"/>
  <c r="L91" i="1"/>
  <c r="R343" i="1"/>
  <c r="R340" i="1" s="1"/>
  <c r="N60" i="1"/>
  <c r="N12" i="1" s="1"/>
  <c r="Q189" i="1"/>
  <c r="Q121" i="1" s="1"/>
  <c r="Q117" i="1" s="1"/>
  <c r="Q362" i="1"/>
  <c r="R362" i="1" s="1"/>
  <c r="Q369" i="1"/>
  <c r="R369" i="1" s="1"/>
  <c r="R45" i="1"/>
  <c r="R22" i="1" s="1"/>
  <c r="M60" i="1"/>
  <c r="M58" i="1" s="1"/>
  <c r="R91" i="1"/>
  <c r="M91" i="1"/>
  <c r="R24" i="1"/>
  <c r="R20" i="1" s="1"/>
  <c r="R10" i="1" s="1"/>
  <c r="R357" i="1"/>
  <c r="Q355" i="1"/>
  <c r="R355" i="1" s="1"/>
  <c r="Q363" i="1"/>
  <c r="R363" i="1" s="1"/>
  <c r="Q358" i="1"/>
  <c r="R358" i="1" s="1"/>
  <c r="O368" i="1"/>
  <c r="Q368" i="1" s="1"/>
  <c r="R64" i="1"/>
  <c r="R197" i="1"/>
  <c r="S197" i="1" s="1"/>
  <c r="Q361" i="1"/>
  <c r="R361" i="1" s="1"/>
  <c r="M354" i="1"/>
  <c r="M341" i="1" s="1"/>
  <c r="Q356" i="1"/>
  <c r="R356" i="1" s="1"/>
  <c r="L7" i="1" l="1"/>
  <c r="N7" i="1"/>
  <c r="O17" i="1"/>
  <c r="R189" i="1"/>
  <c r="R121" i="1" s="1"/>
  <c r="P17" i="1"/>
  <c r="P14" i="1" s="1"/>
  <c r="Q17" i="1"/>
  <c r="R11" i="1"/>
  <c r="L117" i="1"/>
  <c r="R9" i="1"/>
  <c r="M12" i="1"/>
  <c r="P12" i="1"/>
  <c r="Q14" i="1"/>
  <c r="N245" i="1"/>
  <c r="P245" i="1"/>
  <c r="M14" i="1"/>
  <c r="R19" i="1"/>
  <c r="O117" i="1"/>
  <c r="N58" i="1"/>
  <c r="L58" i="1"/>
  <c r="R60" i="1"/>
  <c r="O354" i="1"/>
  <c r="O341" i="1" s="1"/>
  <c r="M339" i="1"/>
  <c r="Q354" i="1"/>
  <c r="Q341" i="1" s="1"/>
  <c r="Q12" i="1" s="1"/>
  <c r="R368" i="1"/>
  <c r="R354" i="1" s="1"/>
  <c r="R341" i="1" s="1"/>
  <c r="R339" i="1" s="1"/>
  <c r="Q7" i="1" l="1"/>
  <c r="P7" i="1"/>
  <c r="R117" i="1"/>
  <c r="R17" i="1"/>
  <c r="R12" i="1"/>
  <c r="R14" i="1"/>
  <c r="O339" i="1"/>
  <c r="O12" i="1"/>
  <c r="R58" i="1"/>
  <c r="Q339" i="1"/>
  <c r="M13" i="1"/>
  <c r="M7" i="1" s="1"/>
  <c r="M245" i="1" l="1"/>
  <c r="O248" i="1"/>
  <c r="O13" i="1" s="1"/>
  <c r="O7" i="1" s="1"/>
  <c r="O245" i="1" l="1"/>
  <c r="R248" i="1"/>
  <c r="R245" i="1" s="1"/>
  <c r="R13" i="1" l="1"/>
  <c r="R7" i="1" s="1"/>
</calcChain>
</file>

<file path=xl/sharedStrings.xml><?xml version="1.0" encoding="utf-8"?>
<sst xmlns="http://schemas.openxmlformats.org/spreadsheetml/2006/main" count="1719" uniqueCount="523">
  <si>
    <t>№ п/п</t>
  </si>
  <si>
    <t>Автомобильная дорога, адрес объекта км… - км …, субъект РФ</t>
  </si>
  <si>
    <t>Последний год ремонта, капитального ремонта или реконструкции (указать вид и дату ввода в эксплуатацию месяц, год)</t>
  </si>
  <si>
    <t>Срок действия гарантийных обязательств</t>
  </si>
  <si>
    <t>№ и дата распоряжения  об утверждении ПД
(при отсутствии указать № и даты заключений ГГЭ) или предполагаемый срок получения ГГЭ</t>
  </si>
  <si>
    <t>Категория участка автодороги</t>
  </si>
  <si>
    <t>Среднегодовая среднесуточная интенсивность движения авт./сутки</t>
  </si>
  <si>
    <t>Существующий модуль упругости (средний по участку), Мпа</t>
  </si>
  <si>
    <t>Число полос движения, шт.</t>
  </si>
  <si>
    <t>Межремонтный срок, который будет действовать после проведения работ, лет</t>
  </si>
  <si>
    <t>Срок
производства работ</t>
  </si>
  <si>
    <t xml:space="preserve">Объем работ на 2021 год
</t>
  </si>
  <si>
    <t xml:space="preserve">Объем работ на 2022 год
</t>
  </si>
  <si>
    <t xml:space="preserve">Объем работ на 2023 год
</t>
  </si>
  <si>
    <t xml:space="preserve">ИТОГО стоимость </t>
  </si>
  <si>
    <t>Стоимость за 1 км</t>
  </si>
  <si>
    <t xml:space="preserve">Примечание
</t>
  </si>
  <si>
    <t>тыс. руб.</t>
  </si>
  <si>
    <t>I</t>
  </si>
  <si>
    <t>Строительство и реконструкция автодорог регионального или межмуниципального значения, всего:</t>
  </si>
  <si>
    <t>ВСЕГО</t>
  </si>
  <si>
    <t>Х</t>
  </si>
  <si>
    <t>Заключено контрактов</t>
  </si>
  <si>
    <t>Программа</t>
  </si>
  <si>
    <t>ПИР реконструкция</t>
  </si>
  <si>
    <t>Дополнительные объекты</t>
  </si>
  <si>
    <t xml:space="preserve"> Контракты заключены</t>
  </si>
  <si>
    <t>Реконструкция объекта капитального строительства "Автомобильная дорога Комсомольск-на-Амуре - Березовый - Амгунь - Могды - Чегдомын на участке мостового перехода через р. Аякит"</t>
  </si>
  <si>
    <t>Распоряжение №10/2-р от 18.02.2016 г.</t>
  </si>
  <si>
    <t>IV</t>
  </si>
  <si>
    <t>Реконструкция объекта капитального строительства "Автомобильная дорога Комсомольск-на-Амуре - Березовый - Амгунь - Могды - Чегдомын на участке мостового перехода через р. Герби"</t>
  </si>
  <si>
    <t>Распоряжение № 25/2-р от  11.05.2016 г.</t>
  </si>
  <si>
    <t>включены в КАИП</t>
  </si>
  <si>
    <t>Реконструкция объекта капитального строительства "Автомобильная дорога Комсомольск-на-Амуре - Березовый - Амгунь - Могды - Чегдомын на участке км 165 - км 174</t>
  </si>
  <si>
    <t xml:space="preserve">Распоряжение №3/8-р от 16.01.2018
</t>
  </si>
  <si>
    <t>2021-2022</t>
  </si>
  <si>
    <t>Реконструкция объекта капитального строительства "Автомобильная дорога Комсомольск-на-Амуре - Березовый - Амгунь - Могды - Чегдомын на участке км 191 - км 200</t>
  </si>
  <si>
    <t xml:space="preserve">Распоряжение №2/8-р от 16.01.2018
</t>
  </si>
  <si>
    <t>Реконструкция объекта капитального строительства "Автомобильная дорога Комсомольск-на-Амуре - Березовый - Амгунь - Могды - Чегдомын на участке км 174 - км 182</t>
  </si>
  <si>
    <t>июнь 2021</t>
  </si>
  <si>
    <t>2022-2023</t>
  </si>
  <si>
    <t>Дополнительные объекты  возможные к реализации в случае увеличения лимитов ассигнований на соответствующий год</t>
  </si>
  <si>
    <t>декабрь 2020</t>
  </si>
  <si>
    <t xml:space="preserve">Реконструкция объекта капитального строительства "Автомобильная дорога "г. Советская Гавань - рп. Ванино" на участке км 14 - км 21" </t>
  </si>
  <si>
    <t>декабрь 2021</t>
  </si>
  <si>
    <t>III</t>
  </si>
  <si>
    <t xml:space="preserve">Реконструкция объекта капитального строительства "Автомобильная дорога "г. Советская Гавань - рп. Ванино" на участке км 21 - км 28" </t>
  </si>
  <si>
    <t>декабрь 2022</t>
  </si>
  <si>
    <t xml:space="preserve">Реконструкция объекта капитального строительства "Автомобильная дорога "г. Советская Гавань - рп. Ванино" на участке км 28 - км 36" </t>
  </si>
  <si>
    <t>Реконструкция объекта капитального строительства "Автомобильная дорога Селихино – Николаевск-на-Амуре на участке км 460 – км 474"</t>
  </si>
  <si>
    <t>Распоряжение №1/8 от 16.01.2018 г.</t>
  </si>
  <si>
    <t>2021-2023</t>
  </si>
  <si>
    <t>Реконструкция объекта капитального строительства "Автомобильная дорога Селихино – Николаевск-на-Амуре на участке км 474 – км 483"</t>
  </si>
  <si>
    <t>Распоряжение №8/2-6 от 18.03.2016 г.</t>
  </si>
  <si>
    <t xml:space="preserve">Реконструкция объекта капитального строительства "Автомобильная дорога "с. Селихино – г. Николаевск-на-Амуре" на участке км 486 - км 491" </t>
  </si>
  <si>
    <t>Реконструкция объекта капитального строительства "Автомобильная дорога Селихино – Николаевск-на-Амуре на участке км 491 – км 500"</t>
  </si>
  <si>
    <t>Распоряжение №1/8-р от 14.01.2019 г.</t>
  </si>
  <si>
    <t>Реконструкция объекта капитального строительства "Автомобильная дорога "Подъезд к с. Верхняя Манома" на участке мостового перехода через руч. Каменистый"</t>
  </si>
  <si>
    <t xml:space="preserve">Разработка проектной и рабочей документации на реконструкцию объекта капитального строительства "Автомобильная дорога Комсомольск-на Амуре- Березовый - Амгунь - Могды - Чеегдомын на участке км 206 - км 216" </t>
  </si>
  <si>
    <t>2023-2024</t>
  </si>
  <si>
    <t xml:space="preserve">Разработка проектной и рабочей документации на реконструкцию объекта капитального строительства "Автомобильная дорога Комсомольск-на Амуре- Березовый - Амгунь - Могды - Чеегдомын на участке км 174 - км 182" </t>
  </si>
  <si>
    <t xml:space="preserve">Разработка проектной и рабочей документации на реконструкцию объекта капитального строительства "Автомобильная дорога Комсомольск-на Амуре- Березовый - Амгунь - Могды - Чегдомын на участке км 182 - км 191" </t>
  </si>
  <si>
    <t xml:space="preserve">Разработка проектной и рабочей документации на реконструкцию объекта капитального строительства "Автомобильная дорога "г. Советская Гавань - рп. Ванино" на участке км 14 - км 21" </t>
  </si>
  <si>
    <t xml:space="preserve">Разработка проектной и рабочей документации на реконструкцию объекта капитального строительства "Автомобильная дорога "г. Советская Гавань - рп. Ванино" на участке км 21 - км 28" </t>
  </si>
  <si>
    <t xml:space="preserve">Разработка проектной и рабочей документации на реконструкцию объекта капитального строительства "Автомобильная дорога "г. Советская Гавань - рп. Ванино" на участке км 28 - км 36" </t>
  </si>
  <si>
    <t xml:space="preserve">Разработка проектной и рабочей документации на реконструкцию объекта капитального строительства "Автомобильная дорога "с. Селихино – г. Николаевск-на-Амуре" на участке км 486 - км 491" </t>
  </si>
  <si>
    <t>2024-2025</t>
  </si>
  <si>
    <t xml:space="preserve">Разработка проектной и рабочей документации на реконструкцию объекта капитального строительства "Автомобильная дорога "с. Селихино – г. Николаевск-на-Амуре" на участке км 500 - км 510" </t>
  </si>
  <si>
    <t>декабрь 2023</t>
  </si>
  <si>
    <t>Разработка проектной и рабочей документации на реконструкцию объекта капитального строительства "Автомобильная дорога "Подъезд к с. Верхняя Манома" на участке мостового перехода через руч. Каменистый"</t>
  </si>
  <si>
    <t>Капитальный ремонт автомобильных дорог Хабаровского края, всего:</t>
  </si>
  <si>
    <t>ПИР на капремонт</t>
  </si>
  <si>
    <t>Национальный проект БКАД</t>
  </si>
  <si>
    <r>
      <rPr>
        <b/>
        <sz val="13"/>
        <rFont val="Times New Roman"/>
        <family val="1"/>
        <charset val="204"/>
      </rPr>
      <t xml:space="preserve">Капитальный ремонт объекта </t>
    </r>
    <r>
      <rPr>
        <sz val="13"/>
        <rFont val="Times New Roman"/>
        <family val="1"/>
        <charset val="204"/>
      </rPr>
      <t>Автомобильная дорога "г. Комсомольск-на-Амуре - пос. Березовый - пос. Амгунь - пос. Могды - рп. Чегдомын" (с устройством автоматического пункта весогабаритного контроля)</t>
    </r>
  </si>
  <si>
    <t>август 2021</t>
  </si>
  <si>
    <t xml:space="preserve"> -</t>
  </si>
  <si>
    <t>2021</t>
  </si>
  <si>
    <r>
      <rPr>
        <b/>
        <sz val="13"/>
        <rFont val="Times New Roman"/>
        <family val="1"/>
        <charset val="204"/>
      </rPr>
      <t>Капитальный ремонт объекта</t>
    </r>
    <r>
      <rPr>
        <sz val="13"/>
        <rFont val="Times New Roman"/>
        <family val="1"/>
        <charset val="204"/>
      </rPr>
      <t xml:space="preserve"> "Автомобильная дорога "Подъезд к рп. Мухен" (с устройством автоматического пункта весогабаритного контроля)</t>
    </r>
  </si>
  <si>
    <r>
      <rPr>
        <b/>
        <sz val="13"/>
        <rFont val="Times New Roman"/>
        <family val="1"/>
        <charset val="204"/>
      </rPr>
      <t>Капитальный ремонт объекта</t>
    </r>
    <r>
      <rPr>
        <sz val="13"/>
        <rFont val="Times New Roman"/>
        <family val="1"/>
        <charset val="204"/>
      </rPr>
      <t xml:space="preserve"> "Автомобильная дорога "г. Советская Гавань - рп. Ванино" (с устройством автоматического пункта весогабаритного контроля)</t>
    </r>
  </si>
  <si>
    <t>сентябрь 2021</t>
  </si>
  <si>
    <t>2022</t>
  </si>
  <si>
    <r>
      <rPr>
        <b/>
        <sz val="13"/>
        <rFont val="Times New Roman"/>
        <family val="1"/>
        <charset val="204"/>
      </rPr>
      <t xml:space="preserve">Капитальный ремонт объекта </t>
    </r>
    <r>
      <rPr>
        <sz val="13"/>
        <rFont val="Times New Roman"/>
        <family val="1"/>
        <charset val="204"/>
      </rPr>
      <t>"Автомобильная дорога «участок автомобильной дороги Биробиджан - Кукан, проходящий в границах территории Хабаровского муниципального района»  (с устройством автоматического пункта весогабаритного контроля)</t>
    </r>
  </si>
  <si>
    <t>ноябрь 2021</t>
  </si>
  <si>
    <r>
      <rPr>
        <b/>
        <sz val="13"/>
        <rFont val="Times New Roman"/>
        <family val="1"/>
        <charset val="204"/>
      </rPr>
      <t>Капитальный ремонт объекта</t>
    </r>
    <r>
      <rPr>
        <sz val="13"/>
        <rFont val="Times New Roman"/>
        <family val="1"/>
        <charset val="204"/>
      </rPr>
      <t xml:space="preserve"> "Автомобильная дорога "Подъезд к с. Святогорье" (с устройством автоматического пункта весогабаритного контроля).</t>
    </r>
  </si>
  <si>
    <t>ноябрь 2022</t>
  </si>
  <si>
    <t>2023</t>
  </si>
  <si>
    <r>
      <rPr>
        <b/>
        <sz val="13"/>
        <rFont val="Times New Roman"/>
        <family val="1"/>
        <charset val="204"/>
      </rPr>
      <t xml:space="preserve">Капитальный ремонт объекта </t>
    </r>
    <r>
      <rPr>
        <sz val="13"/>
        <rFont val="Times New Roman"/>
        <family val="1"/>
        <charset val="204"/>
      </rPr>
      <t>"Автомобильная дорога "Подъезд к с. Малмыж" (с устройством автоматического пункта весогабаритного контроля).</t>
    </r>
  </si>
  <si>
    <t>Основная программа</t>
  </si>
  <si>
    <r>
      <rPr>
        <b/>
        <u/>
        <sz val="13"/>
        <rFont val="Times New Roman"/>
        <family val="1"/>
        <charset val="204"/>
      </rPr>
      <t xml:space="preserve">Капитальный ремонт объекта </t>
    </r>
    <r>
      <rPr>
        <sz val="13"/>
        <rFont val="Times New Roman"/>
        <family val="1"/>
        <charset val="204"/>
      </rPr>
      <t>Автомобильная дорога "Подъезд к с. Бичевая" на участке км 12+700 - км 13+700 (устройство электроосвещения и тротуаров)</t>
    </r>
  </si>
  <si>
    <t>июль 2021</t>
  </si>
  <si>
    <r>
      <rPr>
        <b/>
        <u/>
        <sz val="14"/>
        <rFont val="Times New Roman"/>
        <family val="1"/>
        <charset val="204"/>
      </rPr>
      <t>Капитальный ремонт</t>
    </r>
    <r>
      <rPr>
        <b/>
        <sz val="14"/>
        <rFont val="Times New Roman"/>
        <family val="1"/>
        <charset val="204"/>
      </rPr>
      <t xml:space="preserve"> объекта</t>
    </r>
    <r>
      <rPr>
        <sz val="14"/>
        <rFont val="Times New Roman"/>
        <family val="1"/>
        <charset val="204"/>
      </rPr>
      <t xml:space="preserve"> "Автомобильная дорога "Подъезд к рп. Заветы Ильича" на участке км 0+000 - км 2+500" (устройство электроосвещения и тротуаров) </t>
    </r>
  </si>
  <si>
    <r>
      <rPr>
        <b/>
        <u/>
        <sz val="14"/>
        <rFont val="Times New Roman"/>
        <family val="1"/>
        <charset val="204"/>
      </rPr>
      <t xml:space="preserve">Капитальный ремонт </t>
    </r>
    <r>
      <rPr>
        <b/>
        <sz val="14"/>
        <rFont val="Times New Roman"/>
        <family val="1"/>
        <charset val="204"/>
      </rPr>
      <t>объекта</t>
    </r>
    <r>
      <rPr>
        <b/>
        <u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"Автомобильная дорога "г. Комсомольск-на-Амуре - г. Амурск" на участке км 19+880 - км 21+880 (п.Хурба) (устройство электроосвещения и тротуаров)"</t>
    </r>
  </si>
  <si>
    <r>
      <rPr>
        <b/>
        <u/>
        <sz val="14"/>
        <rFont val="Times New Roman"/>
        <family val="1"/>
        <charset val="204"/>
      </rPr>
      <t>Капитальный ремонт</t>
    </r>
    <r>
      <rPr>
        <b/>
        <sz val="14"/>
        <rFont val="Times New Roman"/>
        <family val="1"/>
        <charset val="204"/>
      </rPr>
      <t xml:space="preserve"> объекта</t>
    </r>
    <r>
      <rPr>
        <sz val="14"/>
        <rFont val="Times New Roman"/>
        <family val="1"/>
        <charset val="204"/>
      </rPr>
      <t xml:space="preserve"> "Автомобильная дорога "Подъезд к пос. ст. Розенгартовка" (устройство электроосвещения и тротуаров)"</t>
    </r>
  </si>
  <si>
    <r>
      <rPr>
        <b/>
        <u/>
        <sz val="14"/>
        <rFont val="Times New Roman"/>
        <family val="1"/>
        <charset val="204"/>
      </rPr>
      <t>Капитальный ремонт</t>
    </r>
    <r>
      <rPr>
        <b/>
        <sz val="14"/>
        <rFont val="Times New Roman"/>
        <family val="1"/>
        <charset val="204"/>
      </rPr>
      <t xml:space="preserve"> объекта</t>
    </r>
    <r>
      <rPr>
        <sz val="14"/>
        <rFont val="Times New Roman"/>
        <family val="1"/>
        <charset val="204"/>
      </rPr>
      <t xml:space="preserve"> "Автомобильная дорога "Подъезд к с. Ачан" на участке км 39+600  - км 42+700"</t>
    </r>
  </si>
  <si>
    <t>ПИР Капитальный ремонт автомобильных дорог</t>
  </si>
  <si>
    <r>
      <rPr>
        <b/>
        <sz val="13"/>
        <rFont val="Times New Roman"/>
        <family val="1"/>
        <charset val="204"/>
      </rPr>
      <t xml:space="preserve">Капитальный ремонт объекта </t>
    </r>
    <r>
      <rPr>
        <sz val="13"/>
        <rFont val="Times New Roman"/>
        <family val="1"/>
        <charset val="204"/>
      </rPr>
      <t>Автомобильная дорога "Подъезд к с. Бичевая" на участке км 12+700 - км 13+700 (устройство электроосвещения и тротуаров)</t>
    </r>
  </si>
  <si>
    <t>сенябрь 2021</t>
  </si>
  <si>
    <t>II</t>
  </si>
  <si>
    <t>Капитальный ремонт искусственных сооружений на автомобильных дорогах Хабаровского края</t>
  </si>
  <si>
    <t xml:space="preserve">Основная программа </t>
  </si>
  <si>
    <t>Капитальный ремонт объекта 
Мост на км 218+459 автомобильной дороги "г. Комсомольск-на-Амуре - п. Березовый - п. Амгунь - п. Могды - р.п. Чегдомын</t>
  </si>
  <si>
    <t>октябрь 2021</t>
  </si>
  <si>
    <t>Капитальный ремонт объекта 
Мост на км 223+604 автомобильной дороги "г. Комсомольск-на-Амуре - п. Березовый - п. Амгунь - п. Могды - р.п. Чегдомын"</t>
  </si>
  <si>
    <t xml:space="preserve">Капитальный ремонт объекта 
 "Мост через р. Горная на км 59+990 автомобильной дороги "с. Селихино – г. Николаевск-на-Амуре" (60+270 по существующим километровым знакам)" </t>
  </si>
  <si>
    <t>Капитальный ремонт объекта 
 "Мост через р. Хальзан на км 80+207 автомобильной дороги "с. Селихино – г. Николаевск-на-Амуре" (80+774 по существующим километровым знакам)"</t>
  </si>
  <si>
    <t>Капитальный ремонт объекта 
"Мост через р. Солонцовая на км 85+838 автомобильной дороги "с. Селихино – г. Николаевск-на-Амуре" (86+419 по существующим километровым знакам)"</t>
  </si>
  <si>
    <t>октябрь 2022</t>
  </si>
  <si>
    <t>Капитальный ремонт объекта 
  "Мост через р. Зубринка на км 589+941 автомобильной дороги «с. Селихино – г. Николаевск-на-Амуре»</t>
  </si>
  <si>
    <t>Капитальный ремонт объекта 
  "Мост через р. Зубринка на км 587+197 автомобильной дороги «с. Селихино – г. Николаевск-на-Амуре»</t>
  </si>
  <si>
    <t>ПИР капитальный ремонт ИССО</t>
  </si>
  <si>
    <t>Ремонт автомобильных дорог, всего</t>
  </si>
  <si>
    <t>ПИР на ремонт</t>
  </si>
  <si>
    <t xml:space="preserve">Ремонт объекта:                                                                                                                                                                                                                                                                                                                                                                                          «Автомобильная дорога г. Комсомольск-на-Амуре - пос. Березовый - пос. Амгунь - пос. Могды - рп. Чегдомын» на участке км 488 - км 501» (рп. Чегдомын - п. Новый Ургал)» 1 этап </t>
  </si>
  <si>
    <t>№ 59/6-р от 20.08.2020</t>
  </si>
  <si>
    <t>Автомобильная дорога "г. Советская Гавань - рп. Ванино" на участке км 37+200 - км 39</t>
  </si>
  <si>
    <t>17/6-р от 21.04.2020</t>
  </si>
  <si>
    <t>2020-2021</t>
  </si>
  <si>
    <t>Автомобильная дорога "Подъезд к пос. имени Горького (г. Хабаровск)" на участке км 0 - км 4+282</t>
  </si>
  <si>
    <t>ПСД в стадии разработки, завершение 23.11.2020</t>
  </si>
  <si>
    <t>Автомобильная дорога "Подъезд к г. Хабаровску (от 14 км федеральной автодороги "Уссури")" на участке км 0 - км 8+860</t>
  </si>
  <si>
    <t>Автомобильная дорога "Подъезд к с. Бичевая" на участке км 39 - км 46</t>
  </si>
  <si>
    <t>Автомобильная дорога "с. Селихино -пос. Снежный - пос. Уктур" на участке км 0 - км 32+900</t>
  </si>
  <si>
    <t>ПСД в стадии разработки, завершение 18.11.2020</t>
  </si>
  <si>
    <t>Автомобильная дорога "с.Обход пос. Красная Речка - с. Казакевичево" на участке км 2+100 - км 5</t>
  </si>
  <si>
    <t>Автомобильная дорога "Подъезд к пос. имени Горького (г. Хабаровск)" на участке км 4+282 - км 6</t>
  </si>
  <si>
    <t>Автомобильная дорога "г. Хабаровск-с. Мичуринское-с. Федоровка -с. Смирновка-с. Галкино" на участке км 23+630 - км 28+870</t>
  </si>
  <si>
    <t>Автомобильная дорога "Подъезд к с. Мирное" на участке км 0 - км 6+054</t>
  </si>
  <si>
    <t>Автомобильная дорога "с.Обход пос. Красная Речка - с. Казакевичево" на участке км 23+000 - км 31+200</t>
  </si>
  <si>
    <t>Автомобильная дорога "г. Хабаровск-с. Мичуринское-с. Федоровка -с. Смирновка-с. Галкино" на участке км 10+630 - км 19+830</t>
  </si>
  <si>
    <t>Автомобильная дорога "с. Селихино - г. Николаевск-на-Амуре" на участке км 94+300 - км 103+400</t>
  </si>
  <si>
    <t>ПИР  ремонт автомобильных дорог</t>
  </si>
  <si>
    <t>сентябрь 2022</t>
  </si>
  <si>
    <t xml:space="preserve"> "Автомобильная дорога "Подъезд к с. Вознесенское" на участке км 6 - км 14"</t>
  </si>
  <si>
    <t>май 2021</t>
  </si>
  <si>
    <t xml:space="preserve"> Восстановление автобусной остановки и электроосвещения на участке км 32+050 автомобильной дороги "г. Комсомольск-на-Амуре - г. Амурск"                                                                          </t>
  </si>
  <si>
    <t>апрель 2021</t>
  </si>
  <si>
    <t xml:space="preserve"> "Автомобильная дорога "г. Комсомольск-на-Амуре - г. Амурск" на участке км 20+000 - км 28+000"</t>
  </si>
  <si>
    <t xml:space="preserve"> "Автомобильная дорога "Подъезд к пос. Галичный" на участке км 0+000 - км 13+000"</t>
  </si>
  <si>
    <t>"Автомобильная дорога "Автодорога" на участке км 0+000 - км 9+000"</t>
  </si>
  <si>
    <t>"Автомобильная дорога Подъезд к с.Ачан" на участке км 60+000 - км 67+750"</t>
  </si>
  <si>
    <t xml:space="preserve"> "Автомобильная дорога Подъезд к с.Ачан" на участке км 50+000 - км 51+000"</t>
  </si>
  <si>
    <t>"Автомобильная дорога "г. Комсомольск-на-Амуре - г. Амурск" на участке км 28+000 - км 35+000"</t>
  </si>
  <si>
    <t xml:space="preserve"> "Автомобильная дорога "с. Селихино - г. Николаевск-на-Амуре" на участке км 485 - км 486"</t>
  </si>
  <si>
    <t>"Автомобильная дорога "с. Селихино - г. Николаевск-на-Амуре" на участке км 235 - км 245"</t>
  </si>
  <si>
    <t>"Автомобильная дорога "Подъезд к с.Большие Санники" на участке км 20 - км 39,4"</t>
  </si>
  <si>
    <t>февраль 2021</t>
  </si>
  <si>
    <t>"Автомобильная дорога "с. Селихино - г. Николаевск-на-Амуре" на участке км 593 - км 619"</t>
  </si>
  <si>
    <t xml:space="preserve"> Автомобильная дорога «с. имени Полины Осипенко - с.Бриакан - пос. Березовый» на участке км 60 - км 74</t>
  </si>
  <si>
    <t>"Автомобильная дорога "г. Комсомольск-на-Амуре - пос. Березовый - пос. Амгунь - пос. Могды - р.п. Чегдомын" на участке км 454+240 - км 457+500"</t>
  </si>
  <si>
    <t xml:space="preserve"> "Автомобильная дорога "г.Биробиджан - с. Кукан " на участке км 0+000 - км 10+000"</t>
  </si>
  <si>
    <t>"Автомобильная дорога "Обход пос. Красная Речка-с.Казакевичево" на участке км 7+000 - км 17+000"</t>
  </si>
  <si>
    <t xml:space="preserve"> "Автомобильная дорога "Подъезд к с. Елабуга"</t>
  </si>
  <si>
    <t>"Автомобильная дорога "Подъезд к хранилищу радиоактивных отходов"</t>
  </si>
  <si>
    <t xml:space="preserve"> "Автомобильная дорога "Подъезд к с.Петропавловка" </t>
  </si>
  <si>
    <t xml:space="preserve"> "Автомобильная дорога "с. Кукан - с. Догордон" на участке км 12+000 - км 21+700"</t>
  </si>
  <si>
    <t xml:space="preserve">"Автомобильная дорога "Подъезд к с. Челны" </t>
  </si>
  <si>
    <t xml:space="preserve">"Автомобильная дорога «Подъезд к р.п. Мухен» на участке км 19+000 - км 31+000" </t>
  </si>
  <si>
    <t xml:space="preserve"> "Автомобильная дорога «рп.Переяславка-с.Аргунское»  на участке км 0+000 - км 3+500"</t>
  </si>
  <si>
    <t xml:space="preserve"> "Автомобильная дорога «Подъез к с.Святогорье»  на участке км 0+000 - км 3+719"</t>
  </si>
  <si>
    <t xml:space="preserve"> Установка светофоров на пересечении улиц Ленина-Октябрьская-Постышева) на автомобильной дороге «рп.Переяславка-с.Аргунское» </t>
  </si>
  <si>
    <t xml:space="preserve"> "Автомобильная дорога "Подъезд к с. Венюково" на участке км 0+000 - км 1+850 (с. Аван) (восстановление электроосвещения и ремонт тротуаров)"</t>
  </si>
  <si>
    <t xml:space="preserve"> "Автомобильная дорога «с. Котиково – с. Кедрово с подъездом к с. Виноградовка» на участке км 0 – км 1+500 (восстановление электроосвещения и ремонт тротуаров)"</t>
  </si>
  <si>
    <t xml:space="preserve">"Автомобильная дорога «г.Вяземский - п.Шумный»  </t>
  </si>
  <si>
    <t xml:space="preserve"> "Автомобильная дорога "Подъезд пос. ст. Розенгартовка" на участке км 1+000 - км 3+500"</t>
  </si>
  <si>
    <t xml:space="preserve"> "Автомобильная дорога "Подъезд к с. Арсеньево" на участке км 20+000 - км 32+000"</t>
  </si>
  <si>
    <t xml:space="preserve"> "Автомобильная дорога "Подъезд к с. Арсеньево" на участке км 4+000 - км 8+000"</t>
  </si>
  <si>
    <t>"Автомобильная дорога "Подъезд к с. Арсеньево" на участке км 32+000 - км 37+000"</t>
  </si>
  <si>
    <t xml:space="preserve"> "Автомобильная дорога "Подъезд к с. Верхний Нерген" на участке км 10+000 - км 15+000"</t>
  </si>
  <si>
    <t xml:space="preserve"> "Автомобильная дорога "Подъезд к с. Верхняя Манома" на участке км 12+000 - км 19+000"</t>
  </si>
  <si>
    <t>"Автомобильная дорога "г. Советская Гавань – рп. Ванино" (восстановление электроосвещения на пешеходных переходах) на участке км 29+952 - км 39+778" (13 шт)</t>
  </si>
  <si>
    <t xml:space="preserve">"Автомобильная дорога  "Подъезд к п. Монгохто" </t>
  </si>
  <si>
    <t xml:space="preserve"> "Автомобильная дорога  "Подъезд к аэропорту г. Советская Гавань" на участке  км 3 - км 6"</t>
  </si>
  <si>
    <t xml:space="preserve"> "Автомобильная дорога  "Подъезд к рп. Заветы Ильича" </t>
  </si>
  <si>
    <t xml:space="preserve">"Автомобильная дорога  "Подъезд к рп. Лососина" </t>
  </si>
  <si>
    <t>"Автомобильная дорога "г. Советская Гавань – рп. Ванино" (восстановление электроосвещения на пешеходных переходах) на участке км 0+176 - км 29+014" (22 шт)</t>
  </si>
  <si>
    <t>Автомобильная дорога "г. Хабаровск - с. Мичуринское - с. Федороака - с. Галкино" восстановление автобусной остановки в с. Виноградовка (1 шт)</t>
  </si>
  <si>
    <t>"Автомобильная дорога "Подъезд к с. Вознесенское" на участке км 6 - км 14"</t>
  </si>
  <si>
    <t xml:space="preserve">Восстановление автобусной остановки и электроосвещения на участке км 32+050 автомобильной дороги "г. Комсомольск-на-Амуре - г. Амурск"                                                                          </t>
  </si>
  <si>
    <t>"Автомобильная дорога "Подъезд к пос. cт. Гайтер" (восстановление электроосвещения) 2 этап</t>
  </si>
  <si>
    <t>№ 6/6-р от 18.02.2020</t>
  </si>
  <si>
    <t>"Автомобильная дорога Подъезд к с.Ачан" на участке км 50+000 - км 51+000"</t>
  </si>
  <si>
    <t xml:space="preserve"> "Автомобильная дорога "г. Комсомольск-на-Амуре - г. Амурск" на участке км 28+000 - км 35+000"</t>
  </si>
  <si>
    <t>"Автомобильная дорога "с. Селихино - г. Николаевск-на-Амуре" на участке км 485 - км 486"</t>
  </si>
  <si>
    <t>№ 15/6-р от 21.04.2020</t>
  </si>
  <si>
    <t>№ 29/6-р от 23.06.2020</t>
  </si>
  <si>
    <t>Автомобильная дорога «с. имени Полины Осипенко - с.Бриакан - пос. Березовый» на участке км 60 - км 74</t>
  </si>
  <si>
    <t xml:space="preserve"> "Автомобильная дорога "г. Комсомольск-на-Амуре - пос. Березовый - пос. Амгунь - пос. Могды - р.п. Чегдомын" на участке км 454+240 - км 457+500"</t>
  </si>
  <si>
    <t xml:space="preserve"> «Автомобильная дорога  г. Комсомольск-на-Амуре - пос. Березовый - пос. Амгунь - пос. Могды - рп. Чегдомын» на участке км 488 - км 501» (рп. Чегдомын - п. Новый Ургал)» 2 этап</t>
  </si>
  <si>
    <t>Автомобильная дорога "Подъезд к пос. Алонка" на участке км 0 - км 7</t>
  </si>
  <si>
    <t>№ 125/6 от 26.11.2019</t>
  </si>
  <si>
    <t xml:space="preserve"> Автомобильная дорога "Подъезд к пос. Алонка" на участке км 7 - км 17</t>
  </si>
  <si>
    <t>ноябрь 2020</t>
  </si>
  <si>
    <t>"Автомобильная дорога "г.Биробиджан - с. Кукан " на участке км 0+000 - км 10+000"</t>
  </si>
  <si>
    <t>"Автомобильная дорога "Подъезд к с. Елабуга"</t>
  </si>
  <si>
    <t xml:space="preserve"> "Автомобильная дорога "Подъезд к хранилищу радиоактивных отходов"</t>
  </si>
  <si>
    <t xml:space="preserve">"Автомобильная дорога "Подъезд к с.Петропавловка" </t>
  </si>
  <si>
    <t>"Автомобильная дорога "с. Кукан - с. Догордон" на участке км 12+000 - км 21+700"</t>
  </si>
  <si>
    <t xml:space="preserve"> "Автомобильная дорога "Подъезд к с. Челны" </t>
  </si>
  <si>
    <t xml:space="preserve">"Автомобильная дорога «Подъезд к р.п. Мухен» на участке км 0+000 - км 9+000" </t>
  </si>
  <si>
    <t>№ 20/6-р от 13.05.2020</t>
  </si>
  <si>
    <t>"Автомобильная дорога «рп.Переяславка-с.Аргунское»  на участке км 0+000 - км 3+500"</t>
  </si>
  <si>
    <t>"Автомобильная дорога «Подъез к с.Святогорье»  на участке км 0+000 - км 3+719"</t>
  </si>
  <si>
    <t xml:space="preserve">Установка светофоров на пересечении улиц Ленина-Октябрьская-Постышева) на автомобильной дороге «рп.Переяславка-с.Аргунское» </t>
  </si>
  <si>
    <t>"Автомобильная дорога «с. Котиково – с. Кедрово с подъездом к с. Виноградовка» на участке км 0 – км 1+500 (восстановление электроосвещения и ремонт тротуаров)"</t>
  </si>
  <si>
    <t>"Автомобильная дорога "Подъезд к с. Арсеньево" на участке км 20+000 - км 32+000"</t>
  </si>
  <si>
    <t xml:space="preserve"> "Автомобильная дорога "Подъезд к с. Арсеньево" на участке км 32+000 - км 37+000"</t>
  </si>
  <si>
    <t>"Автомобильная дорога "Подъезд к с. Верхний Нерген" на участке км 10+000 - км 15+000"</t>
  </si>
  <si>
    <t>"Автомобильная дорога "г. Советская Гавань – рп. Ванино" на участке  км 0+000 - км 29+800"</t>
  </si>
  <si>
    <t>"Автомобильная дорога  "Подъезд к аэропорту г. Советская Гавань" на участке  км 0 - км 3"</t>
  </si>
  <si>
    <t xml:space="preserve">"Автомобильная дорога  "Подъезд к рп. Заветы Ильича" </t>
  </si>
  <si>
    <t xml:space="preserve"> "Автомобильная дорога "г. Советская Гавань – рп. Ванино" на участке км 29+800 - км 40+200"</t>
  </si>
  <si>
    <t xml:space="preserve">Ремонт объекта:                                                                            "Мост через ручей б/н на км 426+559 автомобильной дороги "г. Комсомольск-на-Амуре - пос. Березовый - пос. Амгунь - пос. Могды - р.п. Чегдомын" </t>
  </si>
  <si>
    <t>Ремонт объекта:                                                                    "Мост через р. Бурея на км 22+981 автомобильной дороги "Подъезд к пос. Алонка"</t>
  </si>
  <si>
    <t>Ремонт объекта:                                                                     "Мост через ручей на км 30+241 автомобильной дороги "Подъезд к пос. Алонка"</t>
  </si>
  <si>
    <t>Ремонт объекта:                                                                    "Мост через ручей на км 32+350 автомобильной дороги "Подъезд к пос. Алонка"</t>
  </si>
  <si>
    <t>Ремонт объекта:                                                                  "Автодорожный мост ч/з прот.Амурская" (подходы)</t>
  </si>
  <si>
    <t>Ремонт объекта:                                                                  "Мост через р.Бастак на км 24+118 автомобильной дороги ".Биробиджан - с. Кукан"</t>
  </si>
  <si>
    <t>Ремонт объекта:                                                                  "Мост через р.Бол.Соренак на км 35+837 автомобильной дороги ".Биробиджан - с. Кукан"</t>
  </si>
  <si>
    <t>Ремонт объекта:                                                                  "Мост через р.Ин на км 52+269 автомобильной дороги ".Биробиджан - с. Кукан"</t>
  </si>
  <si>
    <t>Ремонт объекта:                                                                  "Мост на км 12+650 автомобильной дороги "Подъезд к реабилитационному центру Утёс"</t>
  </si>
  <si>
    <t xml:space="preserve">Ремонт объекта:
"Мост ч/р Балахта на км 18+684  автомобильной дороги "Подъезд к с. Верхняя Манома" </t>
  </si>
  <si>
    <t>№ 31/6-р от 26.06.2020</t>
  </si>
  <si>
    <t xml:space="preserve">Ремонт объекта:
"Мост через р. Чистоводная на км 34+017 автомобильной дороги "г. Советсткая Гавань - рп. Ванино" </t>
  </si>
  <si>
    <t>Ремонт ИССО</t>
  </si>
  <si>
    <t>ПИР Ремонт ИССО</t>
  </si>
  <si>
    <t>Ремонт объекта "Мост на км 91+212 автомобильной дороги "с. Селихино - г. Николаевск-на-Амуре" (км 91+739 по существующим километровым знакам)"</t>
  </si>
  <si>
    <t>Ремонт объекта "Мост через р. Татарка на км 478+115 автомобильной дороги "с. Селихино - г. Николаевск-на-Амуре" (км 516+700 по существующим километровым знакам)"</t>
  </si>
  <si>
    <t>Ремонт объекта "Мост через р. Мятая на км 196+100 автомобильной дороги "с. Селихино - г. Николаевск-на-Амуре" (км 197+062 по существующим километровым знакам)"</t>
  </si>
  <si>
    <t>Ремонт объекта "Труба на км 107+800 автомобильной дороги "с. Селихино - г. Николаевск-на-Амуре" (км 107+739 по существующим километровым знакам)"</t>
  </si>
  <si>
    <t xml:space="preserve">Ремонт объекта:
"Мост ч/р Хумма на км 51+894 автомобильной дороги "с. Селихино - п. Снежный - п. Уктур" </t>
  </si>
  <si>
    <t>Ремонт объекта:
"Мост через ручей на км 103+728  автомобильной дороги "с. Селихино - г. Николаевск-на-Амуре"</t>
  </si>
  <si>
    <t xml:space="preserve">Ремонт объекта:
"Мост через ручей на км 80+288 автомобильной дороги "с. Селихино - г. Николаевск-на-Амуре" </t>
  </si>
  <si>
    <t xml:space="preserve">Ремонт объекта:
"Мост через речку Быстрая на км 87+333 автомобильной дороги "с. Селихино - г. Николаевск-на-Амуре" </t>
  </si>
  <si>
    <t xml:space="preserve">Ремонт объекта:
"Мост через ручей на км 91+288 автомобильной дороги "с. Селихино - г. Николаевск-на-Амуре" </t>
  </si>
  <si>
    <t xml:space="preserve">Ремонт объекта:                                                                                                "Мост через р. Бешеная на км 199+495 автомобильной дороги "с. Селихино – г. Николаевск-на-Амуре" (198+580 по существующим километровым знакам)" </t>
  </si>
  <si>
    <t xml:space="preserve">Ремонт объекта:                                                                                   "Мост через р. Казима на км 437+441 автомобильной дороги "с. Селихино – г. Николаевск-на-Амуре" (475+800 по существующим километровым знакам)" </t>
  </si>
  <si>
    <t xml:space="preserve">Ремонт объекта:
"Мост через ручей на км 91+212 автомобильной дороги "с. Селихино - г. Николаевск-на-Амуре" </t>
  </si>
  <si>
    <t>Ремонт объекта:                                                                       Мост на км 119+791 автомобильной дороги «с. имени Полины Осипенко - с. Бриакан - пос. Березовый»</t>
  </si>
  <si>
    <t>август 2022</t>
  </si>
  <si>
    <t xml:space="preserve">Ремонт объекта:                                                                             "Труба  на км 2+560 автомобильной дороги "Подъезд к с. Лесопильное"  </t>
  </si>
  <si>
    <t xml:space="preserve">Ремонт объекта:                                                                             "Труба  на км 1+179 автомобильной дороги "Подъезд к с. Лончаково"  </t>
  </si>
  <si>
    <t xml:space="preserve">Ремонт объекта:
"Мост через р. Хадя на км 9+253 автомобильной дороги "г. Советсткая Гавань - рп. Ванино" </t>
  </si>
  <si>
    <t xml:space="preserve">Ремонт объекта: Мостовой переход через реку Хайбас на км 16+089 автомобильной дороги "Подъезд к аэропорту Охотск" </t>
  </si>
  <si>
    <t>Ремонт объекта:                                                                                        "Мост на км 18+915 автомобильной дороги "Подъезд к аэропорту р.п.Охотск"</t>
  </si>
  <si>
    <t>№ 58/6-р от 06.06.2019</t>
  </si>
  <si>
    <t>Ремонт объекта:                                                                                "Мост на км 17+529 автомобильной дороги "Подъезд к аэропорту р.п.Охотск"</t>
  </si>
  <si>
    <t>№ 37/8-р от 08.05.2019</t>
  </si>
  <si>
    <t>Ремонт объекта:                                                                                            "Мост на км 12+650 автомобильной дороги "Подъезд к аэропорту р.п.Охотск"</t>
  </si>
  <si>
    <t>№ 45/8-р от 20.05.2019</t>
  </si>
  <si>
    <t>Ремонт объекта:                                                                                       "Мост ч/р Левая Уйка на км 11+191  автомобильной дороги "Подъезд к аэропорту с. Аян"</t>
  </si>
  <si>
    <t>№ 26/6-р от 10.06.2020</t>
  </si>
  <si>
    <t>Ремонт объекта:                                                                                             "Мост на км 5+118 автомобильной дороги "с. Аян - с.Нелькан"</t>
  </si>
  <si>
    <t>№275 от 17.08.2018</t>
  </si>
  <si>
    <t>Ремонт объекта:                                                                                                    "Мост на км 18+935 автомобильной дороги "с. Аян - с.Нелькан"</t>
  </si>
  <si>
    <t>№280 от 17.08.2018</t>
  </si>
  <si>
    <t>Ремонт объекта:                                                                                              "Мост на км 32+663 автомобильной дороги "с. Аян - с.Нелькан"</t>
  </si>
  <si>
    <t>№279 от 17.08.2018</t>
  </si>
  <si>
    <t xml:space="preserve">Ремонт объекта:
"Мост через р.Саякан на км 35+906 автомобильной дороги "с. Селихино - п. Снежный - п. Уктур" </t>
  </si>
  <si>
    <t>№ 65/6-р от 02.07.2020</t>
  </si>
  <si>
    <t xml:space="preserve">Ремонт объекта:
"Мост ч/р Верхняя Сеака на км 44+572  автомобильной дороги "с. Селихино - п. Снежный - п. Уктур" </t>
  </si>
  <si>
    <t>№ 11/6-р от 20.04.2020</t>
  </si>
  <si>
    <t>Ремонт объекта:
"Мост через ручей на км 50+451  автомобильной дороги "с. Селихино - г. Николаевск-на-Амуре"</t>
  </si>
  <si>
    <t>№ 73/6-р от 12.07.2019</t>
  </si>
  <si>
    <t xml:space="preserve">Ремонт объекта:
"Мост через ручей на км 62+190 автомобильной дороги "с. Селихино - г. Николаевск-на-Амуре" </t>
  </si>
  <si>
    <t>№ 18/6-р от 28.04.2020</t>
  </si>
  <si>
    <t>Ремонт объекта (аварийный)
"Мост специальный (засыпного типа) через ручей на км 70+715 автомобильной дороги "с. Селихино – г.  Николаевск-на-Амуре"</t>
  </si>
  <si>
    <t>№ 96/6-р от 04.10.2019</t>
  </si>
  <si>
    <t xml:space="preserve">Ремонт объекта:
"Водопропускная труба на км 107+800 автомобильной дороги "с. Селихино - г. Николаевск-на-Амуре" </t>
  </si>
  <si>
    <t xml:space="preserve">Ремонт объекта:                                                                                                "Мост через р. Мятая на км 196+100 автомобильной дороги "с. Селихино – г. Николаевск-на-Амуре" (197+062 по существующим километровым знакам)" </t>
  </si>
  <si>
    <t xml:space="preserve">Ремонт объекта:                                                                                   "Мост через р. Татарка на км 478+115 автомобильной дороги "с. Селихино – г. Николаевск-на-Амуре" (516+700 по существующим километровым знакам)" </t>
  </si>
  <si>
    <t xml:space="preserve">Ремонт объекта:                                                                                   "Мост на км 511+794 автомобильной дороги "с. Селихино – г. Николаевск-на-Амуре" (546+489 по существующим километровым знакам)" </t>
  </si>
  <si>
    <t>№ 51/8-р от 30.05.2019</t>
  </si>
  <si>
    <t>Ремонт объекта:                                                                                      "Мост Холодный ключ на км 512+054 автомобильной дороги "с. Селихино – г. Николаевск-на-Амуре" (546+749 по существующим километровым знакам)"</t>
  </si>
  <si>
    <t>№ 59/6-р от 07.06.2019</t>
  </si>
  <si>
    <t>Ремонт объекта:                                                                                         "Мост на км 516+625 автомобильной дороги "с. Селихино – г. Николаевск-на-Амуре" (551+198) по существующим километровым знакам)"</t>
  </si>
  <si>
    <t>№ 52/8-р от 30.05.2019</t>
  </si>
  <si>
    <t>Ремонт объекта:                                                                                  "Мост на км 516+831 автомобильной дороги "с. Селихино – г. Николаевск-на-Амуре" (551+404) по существующим километровым знакам)"</t>
  </si>
  <si>
    <t>№ 19/6-р от 12.05.2019</t>
  </si>
  <si>
    <t xml:space="preserve">Ремонт объекта:                                                                                   "Мост через ручей на км 526+842 автомобильной дороги "с. Селихино – г. Николаевск-на-Амуре" (561+221 по существующим километровым знакам)" </t>
  </si>
  <si>
    <t xml:space="preserve">Ремонт объекта:                                                                                   "Мост через ручей на км 572+761 автомобильной дороги "с. Селихино – г. Николаевск-на-Амуре" (607+900 по существующим километровым знакам)" </t>
  </si>
  <si>
    <t xml:space="preserve">Ремонт объекта:
"Водопропускная труба на км 215+237 автомобильной дороги "с. Селихино - г. Николаевск-на-Амуре" </t>
  </si>
  <si>
    <t xml:space="preserve">Ремонт объекта:                                                                                                   "Мост через р. Нижняя Патха на км 8+620 автомобильной дороги "Подъезд к рп. Озерпах" </t>
  </si>
  <si>
    <t>Ремонт объекта:                                                                                        "Мост на км 562+364 автомобильной дороги "с. Селихино – г. Николаевск-на-Амуре" (597+357 по существующим километровым знакам)"</t>
  </si>
  <si>
    <t xml:space="preserve">Ремонт объекта:                                                                                        "Мост ч/р Зубринка на км 589+941 автомобильной дороги «с. Селихино – г. Николаевск-на-Амуре» (624+900 по существующим километровым знакам). </t>
  </si>
  <si>
    <t>Ремонт объекта:                                                                   "Мост через ручей б/н на км 198+522 автомобильной дороги "г. Комсомольск - на- Амуре- п. Берёзовый-п. Амгунь-п. Могды- р.п. Чегдомын"</t>
  </si>
  <si>
    <t>№ 92/6-р от 01.10.2019</t>
  </si>
  <si>
    <t>Ремонт объекта:                                                                                      "Мост через реку Эбкан на км 224+209  автомобильной дороги "г. Комсомольск - на- Амуре- п. Берёзовый-п. Амгунь-п. Могды- р.п. Чегдомын"</t>
  </si>
  <si>
    <t>№ 94/6-р от 01.10.2019</t>
  </si>
  <si>
    <t>Ремонт объекта:                                                                              Мост через р. Семитка на км 65+866 автомобильной дороги «с. имени Полины Осипенко - с. Бриакан - пос. Березовый»</t>
  </si>
  <si>
    <t>январь 2021</t>
  </si>
  <si>
    <t>V</t>
  </si>
  <si>
    <t>СОДЕРЖАНИЕ АВТОМОБИЛЬНЫХ ДОРОГ и ИССО</t>
  </si>
  <si>
    <t>Выполнение работ по содержанию объекта "Автомобильная дорога "с. Селихино -                                                                                                                        г. Николаевск-на-Амуре" на участке км 103+400 - км 105+500"</t>
  </si>
  <si>
    <t>Выполнение работ по содержанию объекта "Автомобильная дорога "Подъезд к                                                                                                                                 с. Кукелево"</t>
  </si>
  <si>
    <t>Выполнение работ по содержанию объекта "Автомобильная дорога "Подъезд к                                               с. Капитоновка" на участке км 0+000 - км 6+700"</t>
  </si>
  <si>
    <t xml:space="preserve">Выполнение работ по содержанию региональной сети автомобильных дорог Бикинского, Вяземского, им. Лазо, Хабаровского, Нанайского, Солнечного, им. Полины Осипенко, Амурского, Комсомольского, Ульчского, Николаевского муниципальных районов Хабаровского края и ИССО на них                                                                                                                                                                                                                    </t>
  </si>
  <si>
    <t xml:space="preserve">Выполнение работ по содержанию региональной сети автомобильных дорог Верхнебуреинского муниципального района Хабаровского края и ИССО на них                                                                                                 </t>
  </si>
  <si>
    <t xml:space="preserve">Выполнение работ по содержанию региональной сети автомобильных дорог Аяно-Майского муниципального района Хабаровского края и ИССО на них                                                                                                 </t>
  </si>
  <si>
    <t xml:space="preserve">Выполнение работ по содержанию региональной сети автомобильных дорог Охотского муниципального района Хабаровского края и ИССО на них                                                                                                       </t>
  </si>
  <si>
    <t xml:space="preserve">Выполнение работ по содержанию региональной сети автомобильных дорог Советско-Гаванского, Ванинского муниципальных районов Хабаровского края и ИССО на них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</si>
  <si>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Выполнение работ по содержанию мостовых переходов расположенных на региональной сети автомобильных дорог Хабаровского края</t>
  </si>
  <si>
    <t>Выполнение работ по содержанию элементов линий электроосвещения (включая автономные системы освещения) и светофорных объектов на автомобильных дорогах регионального или межмуниципального значения Хабаровского края</t>
  </si>
  <si>
    <t>Выполнение работ по устройству и содержанию ледовой переправы на автомобильной дороге  ''с. Селихино - г. Николаевск-на-Амуре на участке                                                                                                                           ''с. Подгорное - г. Николаевск-на-Амуре''</t>
  </si>
  <si>
    <t>Затраты на оформление правоустанавливающих документов на земельные участки</t>
  </si>
  <si>
    <t>Прочие (экспертиза, непредвиденные затраты, Дальневосточный УГМС)</t>
  </si>
  <si>
    <t>Выполнение работ по обеспечению транспортной безопасности</t>
  </si>
  <si>
    <t>Диагностика и паспортизация автомобильных дорог регионального или межмуниципального значения и ИССО на них</t>
  </si>
  <si>
    <t>Выполнение работ по нанесению горизонтальной дорожной разметки</t>
  </si>
  <si>
    <t>Охрана АПВГК</t>
  </si>
  <si>
    <t>И.о. начальника КГКУ "Хабаровскуправтодор"</t>
  </si>
  <si>
    <t>Ю.П. Залевский</t>
  </si>
  <si>
    <t xml:space="preserve"> «Автомобильная дорога «г. Комсомольск-на-Амуре – пос. Березовый – пос. Амгунь – по. Могды – р.п. Чегдомын» на участке км 0 – 16» Этап 2 (ПК 42+00 – 162+97)</t>
  </si>
  <si>
    <t xml:space="preserve">«Автомобильная дорога «г. Комсомольск-на-Амуре – пос. Березовый – пос. Амгунь – по. Могды – р.п. Чегдомын» на участке км 0 – 16» Этап 1 (ПК 0+00 – ПК42+00) </t>
  </si>
  <si>
    <t xml:space="preserve"> «Автомобильная дорога «г. Комсомольск-на-Амуре – пос. Березовый – пос. Амгунь – по. Могды – р.п. Чегдомын» на участке км 16 – 28» Этап 1 (ПК 0+00 – ПК50+00) </t>
  </si>
  <si>
    <t xml:space="preserve"> «Автомобильная дорога «г. Комсомольск-на-Амуре – пос. Березовый – пос. Амгунь – по. Могды – р.п. Чегдомын» на участке км 16 – 28» Этап 2 (ПК 50+00 – ПК117+00) </t>
  </si>
  <si>
    <t xml:space="preserve">Выполнение работ по содержанию региональной сети автомобильных дорог Бикинского, Вяземского, им. Лазо, Хабаровского, Нанайского, Солнечного, им. Полины Осипенко, Амурского, Комсомольского, Ульчского, Николаевского муниципальных районов Хабаровского края и ИССО на них                                                                                                                                                                                                             </t>
  </si>
  <si>
    <t>Выполнение работ по содержанию региональной сети автомобильных дорог Верхнебуреинского муниципального района Хабаровского края и ИССО на них</t>
  </si>
  <si>
    <t xml:space="preserve">Выполнение работ по содержанию региональной сети автомобильных дорог Аяно-Майского муниципального района Хабаровского края и ИССО на них </t>
  </si>
  <si>
    <t xml:space="preserve">Выполнение работ по содержанию региональной сети автомобильных дорог Охотского муниципального района Хабаровского края и ИССО на них </t>
  </si>
  <si>
    <t xml:space="preserve">Выполнение работ по содержанию региональной сети автомобильных дорог Советско-Гаванского, Ванинского муниципальных районов Хабаровского края и ИССО на них </t>
  </si>
  <si>
    <t>Выполнение работ по устройству и  содержанию объекта ''Автомобильная дорога сезонного действия (автозимник) ''Подъезд к п. Победа от федеральной дороги  Р-297 ''Амур'' (Чита-Хабаровск)''</t>
  </si>
  <si>
    <t>вводные км/п.м.</t>
  </si>
  <si>
    <t>2019-2021</t>
  </si>
  <si>
    <t>2022-2024</t>
  </si>
  <si>
    <t>Реконструкция объекта капитального строительства "Автомобильная дорога Комсомольск-на-Амуре - Березовый - Амгунь - Могды - Чегдомын на участке км 182 - км 191</t>
  </si>
  <si>
    <t>Реконструкция объекта капитального строительства "Автомобильная дорога Комсомольск-на-Амуре - Березовый - Амгунь - Могды - Чегдомын на участке км 206 - км 216</t>
  </si>
  <si>
    <t>Выполнение работ по подготовке проектной документации на ремонт объекта «Мост через р. Петровичи на км 38+311 автомобильной дороги «Подъезд к с. Бичевая»</t>
  </si>
  <si>
    <t>Реконструкция объекта капитального строительства "Автомобильная дорога "Обход рп. Переяславка" со строительством ж/д путепровода (с подходами 6 км)"</t>
  </si>
  <si>
    <t>Реконструкция объекта капитального строительства "Путепровод на км 128+130 автомобильной дороги  "г.Комсомольск-на-Амуре - п.Березовый - п.Амгунь - п.Могды - р.п.Чегдомын"</t>
  </si>
  <si>
    <t>Разработка проектной и рабочей документации на реконструкцию объекта капитального строительства"Автомобильная дорога "Обход рп. Переяславка" со строительством ж/д путепровода (с подходами 6 км)"</t>
  </si>
  <si>
    <t>Разработка проектной и рабочей документации на реконструкцию объекта капитального строительства "Путепровод на км 128+130 автомобильной дороги  "г.Комсомольск-на-Амуре - п.Березовый - п.Амгунь - п.Могды - р.п.Чегдомын"</t>
  </si>
  <si>
    <r>
      <rPr>
        <b/>
        <sz val="13"/>
        <rFont val="Times New Roman"/>
        <family val="1"/>
        <charset val="204"/>
      </rPr>
      <t xml:space="preserve">Капитальный ремонт объекта </t>
    </r>
    <r>
      <rPr>
        <sz val="13"/>
        <rFont val="Times New Roman"/>
        <family val="1"/>
        <charset val="204"/>
      </rPr>
      <t>"Автомобильная дорога "Подъезд к аэропорту рп. Охотск"</t>
    </r>
  </si>
  <si>
    <t>Капитальный ремонт объекта "Автомобильная дорога "Подъезд к аэропорту рп. Охотск"</t>
  </si>
  <si>
    <t>4-5</t>
  </si>
  <si>
    <t>1-2</t>
  </si>
  <si>
    <t>Реконструкция объекта капитального строительства "Автомобильная дорога "с. Селихино – г. Николаевск-на-Амуре" на участке км 446 - км 460" (остатки работ)</t>
  </si>
  <si>
    <t>2016-2021</t>
  </si>
  <si>
    <t xml:space="preserve">ПИР </t>
  </si>
  <si>
    <t>Выполнение научно-исследовательской работы: "Разработка документов транспортного планирования Хабаровского края в рамках национального проекта "Безопасные и качественные автомобильные дороги"</t>
  </si>
  <si>
    <t>Заключено контрактов, в том числе:</t>
  </si>
  <si>
    <t>Реконструкция а/д</t>
  </si>
  <si>
    <t>Ремонт и содержание</t>
  </si>
  <si>
    <t>Выполнение работ по устройству и  содержанию объекта ''Автомобильная дорога сезонного действия (автозимник) ''Подъезд к п. Победа от федеральной дороги Р-297 ''Амур'' (Чита-Хабаровск)''</t>
  </si>
  <si>
    <t>Выполнение работ по устройству и содержанию ледовой переправы на автомобильной дороге ''с. Селихино - г. Николаевск-на-Амуре на участке ''с. Подгорное - г. Николаевск-на-Амуре''</t>
  </si>
  <si>
    <t>Дополнительные объекты, в том числе:</t>
  </si>
  <si>
    <t>ремонт дорог</t>
  </si>
  <si>
    <t>реконструкция а/д</t>
  </si>
  <si>
    <t>ремонт ИССО (п.м.)</t>
  </si>
  <si>
    <t>Проект предварительных программ работ по строительству, реконструкции, капитальному ремонту, ремонту и содержанию автомобильных дорог общего пользования регионального и межмуниципального значения на период 2021–2023 гг.
по КГКУ "Хабаровскуправтодор"</t>
  </si>
  <si>
    <r>
      <rPr>
        <sz val="12"/>
        <rFont val="Times New Roman"/>
        <family val="1"/>
        <charset val="204"/>
      </rPr>
      <t>1</t>
    </r>
  </si>
  <si>
    <r>
      <rPr>
        <sz val="12"/>
        <rFont val="Times New Roman"/>
        <family val="1"/>
        <charset val="204"/>
      </rPr>
      <t>2</t>
    </r>
  </si>
  <si>
    <r>
      <rPr>
        <sz val="12"/>
        <rFont val="Times New Roman"/>
        <family val="1"/>
        <charset val="204"/>
      </rPr>
      <t>3</t>
    </r>
  </si>
  <si>
    <r>
      <rPr>
        <sz val="12"/>
        <rFont val="Times New Roman"/>
        <family val="1"/>
        <charset val="204"/>
      </rPr>
      <t>4</t>
    </r>
  </si>
  <si>
    <r>
      <rPr>
        <sz val="12"/>
        <rFont val="Times New Roman"/>
        <family val="1"/>
        <charset val="204"/>
      </rPr>
      <t>№ п/п</t>
    </r>
  </si>
  <si>
    <r>
      <rPr>
        <sz val="12"/>
        <rFont val="Times New Roman"/>
        <family val="1"/>
        <charset val="204"/>
      </rPr>
      <t>Наименование объектов и направления расходования средств</t>
    </r>
  </si>
  <si>
    <r>
      <rPr>
        <sz val="12"/>
        <rFont val="Times New Roman"/>
        <family val="1"/>
        <charset val="204"/>
      </rPr>
      <t>Физические показатели</t>
    </r>
  </si>
  <si>
    <r>
      <rPr>
        <sz val="12"/>
        <rFont val="Times New Roman"/>
        <family val="1"/>
        <charset val="204"/>
      </rPr>
      <t>Объем финансирования, тыс. руб.</t>
    </r>
  </si>
  <si>
    <r>
      <rPr>
        <sz val="12"/>
        <rFont val="Times New Roman"/>
        <family val="1"/>
        <charset val="204"/>
      </rPr>
      <t>км</t>
    </r>
  </si>
  <si>
    <r>
      <rPr>
        <sz val="12"/>
        <rFont val="Times New Roman"/>
        <family val="1"/>
        <charset val="204"/>
      </rPr>
      <t>п.м</t>
    </r>
  </si>
  <si>
    <t>№ и дата распоряжения  об утверждении ПД
 или предполагаемый срок получения ПД</t>
  </si>
  <si>
    <t>Ремонт автодорог регионального или межмуниципального значения, всего:</t>
  </si>
  <si>
    <t>«Автомобильная дорога «г. Комсомольск-на-Амуре – пос. Березовый – пос. Амгунь – по. Могды – р.п. Чегдомын» на участке км 488 - км 501 (рп Чегдомын - п. Новый Ургал)</t>
  </si>
  <si>
    <t xml:space="preserve"> № 59/6-р от 20.08.2020 </t>
  </si>
  <si>
    <t>"Автомобильная дорога "Подъезд к п. Алонка" на участке км 0 - км7"</t>
  </si>
  <si>
    <t>№ 125 /6-р от 26.11.2019</t>
  </si>
  <si>
    <t xml:space="preserve"> "Автомобильная дорога "с. Селихино – п. Снежный" на участке км 0 - км 30 " </t>
  </si>
  <si>
    <t xml:space="preserve">Ремонт объекта:
"Мост через руч. Каменистый на км 2+252  автомобильной дороги "Подъезд к с. Верхняя Манома" </t>
  </si>
  <si>
    <t xml:space="preserve">Ремонт объекта:
"Мост через р. Хадя на км 9+253 автомобильной дороги                                              "г. Советсткая Гавань - рп. Ванино" </t>
  </si>
  <si>
    <t>Дорожный призыв</t>
  </si>
  <si>
    <t>"Автомобильная дорога "с. Селихино - г. Николаевск-на-Амуре" на участке км 262 - км 293"</t>
  </si>
  <si>
    <t>"Автомобильная дорога "г. Советская Гавань – рп. Ванино" на участке  км 0+000 - км 4+000</t>
  </si>
  <si>
    <t>План работ по  ремонту  автомобильных дорог общего пользования регионального и межмуниципального значения по итогам проведенного "Дорожного призыва"
по КГКУ "Хабаровскуправтодор"</t>
  </si>
  <si>
    <t xml:space="preserve"> "Автомобильная дорога "с. Селихино – г. Николаевск-на-Амуре" на участке км 219 - км 250 " </t>
  </si>
  <si>
    <t xml:space="preserve">           УТВЕРЖДАЮ:</t>
  </si>
  <si>
    <t xml:space="preserve"> </t>
  </si>
  <si>
    <t xml:space="preserve"> __________________________ Ю.П. Залевский</t>
  </si>
  <si>
    <t xml:space="preserve">          "______"_____________2021 г</t>
  </si>
  <si>
    <t>График подготовки ПСД и проведения закупок по объектам ремонта сети автомобильных дорог регионального или межмуниципального значения</t>
  </si>
  <si>
    <t>Хабаровского края включенным в план работ "Дорожный призыв" на 2021 год.</t>
  </si>
  <si>
    <t>№
п/п</t>
  </si>
  <si>
    <t>№
п/п
по району</t>
  </si>
  <si>
    <t>Наименование объектов
и направления расходования средств</t>
  </si>
  <si>
    <t>Ед.
изм.</t>
  </si>
  <si>
    <t>Физические показатели</t>
  </si>
  <si>
    <t xml:space="preserve">Объем финансирования, 
тыс. руб.
</t>
  </si>
  <si>
    <t>Основание
ремонтных работ</t>
  </si>
  <si>
    <t>Приоритетность (важность)</t>
  </si>
  <si>
    <t>ПСД</t>
  </si>
  <si>
    <t>Торги на проведение работ</t>
  </si>
  <si>
    <t>Работы по объекту</t>
  </si>
  <si>
    <t>Начало работ</t>
  </si>
  <si>
    <t>Сроки ввода</t>
  </si>
  <si>
    <t>Примечание  (тип покрытия)</t>
  </si>
  <si>
    <t>Примечание стоимость по итогам торгов</t>
  </si>
  <si>
    <t>Ответственный куратор (Приказ №21/3 от 13.02.17)</t>
  </si>
  <si>
    <t>Примечание</t>
  </si>
  <si>
    <t>Дата передачи тех. зад. в торги</t>
  </si>
  <si>
    <t>Дата заключения контракта на подготовку ПСД</t>
  </si>
  <si>
    <t>Дата окончания работ по  подготовке ПСД</t>
  </si>
  <si>
    <t>Дата передачи готового проекта на торги</t>
  </si>
  <si>
    <t>Дата направления док. В комитет</t>
  </si>
  <si>
    <t>Дата заключения контракта</t>
  </si>
  <si>
    <t xml:space="preserve">Начало </t>
  </si>
  <si>
    <t>Окончание</t>
  </si>
  <si>
    <t>13</t>
  </si>
  <si>
    <t>км</t>
  </si>
  <si>
    <t>Аварийное состояние.                                       Сильный крен устоев (30%), разрушены плиты мягкого въезда</t>
  </si>
  <si>
    <t>август</t>
  </si>
  <si>
    <t>а/б</t>
  </si>
  <si>
    <t>сентябрь</t>
  </si>
  <si>
    <t>20.07.17</t>
  </si>
  <si>
    <t>30.06.2017</t>
  </si>
  <si>
    <t xml:space="preserve">Выполнить работы по приведению асфальтобетонного покрытия в нормативное состояние (большая сетка трещин, ямочность, колейность, просадки, пучины) </t>
  </si>
  <si>
    <t>шт.</t>
  </si>
  <si>
    <t>п.м.</t>
  </si>
  <si>
    <t>Аварийное состояние.</t>
  </si>
  <si>
    <t>Разрушены деформационные швы, просадки под переходными плитами.</t>
  </si>
  <si>
    <t>Аварийное состояние. Разрушение мести опирания балок.</t>
  </si>
  <si>
    <t>Аварийное состояние. Разрушение мест опирания балок.</t>
  </si>
  <si>
    <t>Разрушены деформационные швы</t>
  </si>
  <si>
    <t>Размыты конуса моста.</t>
  </si>
  <si>
    <t>Разрушение гидроизоляционных пролётных строений в районе опоры 1. Разрушены деформационные швы. Разрушение балок в местах опирания на опоре 2.</t>
  </si>
  <si>
    <t>Представление ГИБДД.                                          Аварийное состояние. Разрушены оголовки, деформация тела трубы, расхождение звеньев.</t>
  </si>
  <si>
    <t>Сильно разрушена гидроизоляция ПС. Разрушен защитный слой ПС. Начато разрушение тротуарных блоков, д.ш. на всех опорах. Наносы корчей. Начат подмыв дамб на ОКр1. Разрушены тротуарные блоки на сопряжении.</t>
  </si>
  <si>
    <t>Скол балок в месте опирания на ОП2. Сильное разрушение гидроизоляции, защитного слоя ПС. Разрушены д.ш. все. Разрушены плиты тротуарных блоков. Просадка конуса на ОКр2.</t>
  </si>
  <si>
    <t>Начат подмыв струенаправляющей дамбы. (дамба примерно 200 м), обследование, составление паспорта дамбы. Разработка проекта ремонта.</t>
  </si>
  <si>
    <t>обследование струенаправляющей дамбы, составление паспорта</t>
  </si>
  <si>
    <t>Просадка ОКр2; предаварийное состояние пролёта №2 (сильное разрушение гидроизоляции ПС, самих плит), разрушение д/ш.</t>
  </si>
  <si>
    <t>Критические разрушения свай ОП4, ОП5; разрушение ригелей промежуточных опор. Сильное выщелачивание бетона. Разрушение гидроизоляции ПС 100%. Разрушены д/ш, дыры до 15 см. Разрушены тротуарные блоки (около 10м)</t>
  </si>
  <si>
    <t>Разрушение свай ОП2 в месте перехода в грунт. Просадка конусов. Просадка переходных на ОКр2.</t>
  </si>
  <si>
    <t>Критическое выпиране ОП2, ОП3. Сильные разрушения пролетных строений. Нет перильного и барьерного ограждения.</t>
  </si>
  <si>
    <t>Незначительная просадка опоры, разрушение д.ш., занесено подмостовое пространство, разрушены конуса.</t>
  </si>
  <si>
    <t>Грибок на пролетных строениях, разрушение стыков между балками, разрушение д/ш. Зафексирован незначительный подмыв струенаправляющей дамбы (дамба в паспорте не указанна, примерно 200м). Разрушение тротуарных блоков. Обследование, составление паспорта струенаправляющей дамбы.</t>
  </si>
  <si>
    <t>Выпирание ОП3, разрушение ригеля (сильные трещины, сколы), отсутствует свая на ОП2, разрушение гидроизоляции ПС, перегруз последнего пролета асфальтом, разрушение плит тротуаров.</t>
  </si>
  <si>
    <t>Разрушение заборной стены ОКр1, разрушение стойки ОП2 (полное) в месте перехода в землю, Выпирание ОП3. Трещины на ПС сильные.</t>
  </si>
  <si>
    <t>Выпирает ОП3 (лево)</t>
  </si>
  <si>
    <t>Ремонт объекта:                                                                         "Обустройство пешеходных переходов (освещение)"</t>
  </si>
  <si>
    <t>Поручение президента РФ (решение суда по 4 шт в Лазовском районе)</t>
  </si>
  <si>
    <t>Диагностика и паспортизация автомобильных дорог</t>
  </si>
  <si>
    <t>Разработка програмного комплекса «АИС ИССО М»</t>
  </si>
  <si>
    <t>Для мониторинга, анализа, контроля технического состояния, оценки уровня эксплуатационной надежности и оптимизации финансовых затрат на содержание и ремонт искусственных сооружений.</t>
  </si>
  <si>
    <t>Оказание услуг в сфере обесечения транспортной безопасности объектов транспортной инфраструктуры расположенных на автомобильных дорогах регионального или межмуниципального значения Хабаровского края.</t>
  </si>
  <si>
    <t>Диагностика и паспортизация мостовых сооружений края</t>
  </si>
  <si>
    <t>РЕЗЕРВ</t>
  </si>
  <si>
    <t xml:space="preserve">км / п.м. </t>
  </si>
  <si>
    <t>в том числе дорог</t>
  </si>
  <si>
    <t>в том числе мостов</t>
  </si>
  <si>
    <t>в том числе труб</t>
  </si>
  <si>
    <t>А.С. Ковшиков</t>
  </si>
  <si>
    <t>В.И. Омельчук</t>
  </si>
  <si>
    <t>А.Ю. Рябов</t>
  </si>
  <si>
    <t>Выполнение работ по ремонту объекта "Мост через ручей на км 570+513 автомобильной дороги "с. Селихино - г. Николаевск-на-Амуре" (км 605+699 по существующим километровым столбикам)"</t>
  </si>
  <si>
    <t>Николаевский</t>
  </si>
  <si>
    <t>Выполнение работ по ремонту объекта "Мост через ручей на км 569+390 автомобильной дороги "с. Селихино - г. Николаевск-на-Амуре" (км 604+440 по существующим километровым столбикам)"</t>
  </si>
  <si>
    <t>Выполнение работ по ремонту объекта "Мост через ручей на км 563+112 автомобильной дороги "с. Селихино - г. Николаевск-на-Амуре" (км 597+458 по существующим километровым столбикам)</t>
  </si>
  <si>
    <t>Выполнение работ по ремонту объекта "Мост через ручей на км 567+115 автомобильной дороги "с. Селихино - г. Николаевск-на-Амуре" (км 602+125 по существующим километровым столбикам)"</t>
  </si>
  <si>
    <t>Выполнение работ по ремонту объекта "Мост через ручей Мельничный на км 449+806 автомобильной дороги "с. Селихино - г. Николаевск-на-Амуре" (км 488+334 по существующим километровым столбикам)"</t>
  </si>
  <si>
    <t>Ульчский</t>
  </si>
  <si>
    <r>
      <t xml:space="preserve">Восстановление асфальтобетонного покрытия, приведение дороги в нормативное состояние (большая сетка трещин, ямочность, колейность, просадки, пучины) (обращение Главы Амурского р-на, письмо Министерства пром. и транстпорта от 20.07.2016г).           </t>
    </r>
    <r>
      <rPr>
        <b/>
        <sz val="18"/>
        <rFont val="Times New Roman Cyr"/>
        <charset val="204"/>
      </rPr>
      <t xml:space="preserve">Переходящий на 2018г. </t>
    </r>
  </si>
  <si>
    <r>
      <t>Поручение Президента РФ ПР-935.</t>
    </r>
    <r>
      <rPr>
        <sz val="18"/>
        <rFont val="Times New Roman Cyr"/>
        <charset val="204"/>
      </rPr>
      <t xml:space="preserve"> Восстановление земляного полотна и дорожной одежды, расчистка полосы отвода, устройство водоотвода и обустройства автодороги</t>
    </r>
  </si>
  <si>
    <t>Необходимо урегулировать с трассировкой по ППД (наложение участка реконтрструкции в обход)</t>
  </si>
  <si>
    <t>СД утверждена 13.05.2020  -  125.4 млн. руб. На участке выполнялись работы в рамках содержания.</t>
  </si>
  <si>
    <t>Выдача ПСД на участок км 0+000 - км 29+800 до 15.02.2021. По ТЗ  выделение 3-х этапов (км 0+000 – км 9+944, км 9+944 – км 20+295 и км 20+295 – км 29+800)</t>
  </si>
  <si>
    <t>ПСД утверждена 21.04.2020 - 407,6 млн. руб. Требуется корректировка по причине производства работ на данном участке по дефектной ведомости. Срок корректировки 2,5 месяца без учета торгов (4,5 месяца с торгами)</t>
  </si>
  <si>
    <t>ПСД утверждена 21.04.2020 - 424,5 млн. руб. (1 этап - 188,6 мл..руб., 
2 этап - 235,9 млн.руб.). Требуется корректировка по причине производства работ на данном участке по дефектной ведомости. Срок корректировки 2,5 месяца без учета торгов  (4,5 месяца с торгами)</t>
  </si>
  <si>
    <t>Автомобильная дорога г. Советская Гавань – рп. Ванино" на участке  км 0+000 - км 29+000</t>
  </si>
  <si>
    <t xml:space="preserve"> "Автомобильная дорога "г. Советская Гавань – рп. Ванино" на участке км 29+800 - км 33+800"</t>
  </si>
  <si>
    <t xml:space="preserve"> "Автомобильная дорога "г. Советская Гавань – рп. Ванино" на участке км 33+800 - км 37+200"</t>
  </si>
  <si>
    <t>15.02.2021</t>
  </si>
  <si>
    <t>по факту доведения ЛБО</t>
  </si>
  <si>
    <t>18.01.2021</t>
  </si>
  <si>
    <t>15.03.2021</t>
  </si>
  <si>
    <t>25.05.2021</t>
  </si>
  <si>
    <t>18.01.2022</t>
  </si>
  <si>
    <t>15.03.2022</t>
  </si>
  <si>
    <t>25.05.2022</t>
  </si>
  <si>
    <t>18.01.2023</t>
  </si>
  <si>
    <t>15.03.2023</t>
  </si>
  <si>
    <t>25.05.2023</t>
  </si>
  <si>
    <t>18.01.2024</t>
  </si>
  <si>
    <t>15.03.2024</t>
  </si>
  <si>
    <t>25.05.2024</t>
  </si>
  <si>
    <t>18.01.2025</t>
  </si>
  <si>
    <t>15.03.2025</t>
  </si>
  <si>
    <t>25.05.2025</t>
  </si>
  <si>
    <t xml:space="preserve">ПСД утверждена 04.06.2019 - 280,7 млн. руб. Предусмотрены 2 этапа (42,5 и 238 млн.руб.) </t>
  </si>
  <si>
    <t>ПСД разработана</t>
  </si>
  <si>
    <t xml:space="preserve">- </t>
  </si>
  <si>
    <t>ПСД утверждена 21.04.2020 - 407,6 млн. руб. Требуется корректировка по причине выделения этапа в 4 км</t>
  </si>
  <si>
    <t xml:space="preserve">ПСД утверждена 26.11.2019 
(173 млн. руб.) Требуется корректировка о причине производства работ на данном участке по дефектной ведомости. </t>
  </si>
  <si>
    <t xml:space="preserve">       И.о. начальника КГКУ " Хабаровскуправтодор"</t>
  </si>
  <si>
    <t>реализация по дефектной ведомости</t>
  </si>
  <si>
    <t xml:space="preserve">                                              УТВЕРЖДАЮ:
Министр транспорта и дорожного хозяйства
Хабаровского края
 __________________________Р.А. Мирошин
"______"________________________2020 год </t>
  </si>
  <si>
    <t>Итого</t>
  </si>
  <si>
    <t>Автомобильная дорога "Подъезд к пос. имени Горького 
(г. Хабаровск)"</t>
  </si>
  <si>
    <t>Автомобильная дорога "Подъезд к с. Бичевая" на участке 
км 39 - км 46</t>
  </si>
  <si>
    <t>Автомобильная дорога "Обход пос. Красная Речка -                             с. Казакевичево" км 23+600 - 25+688</t>
  </si>
  <si>
    <t xml:space="preserve"> Автомобильная дорога "г. Советская Гавань – рп. Ванино" 
на участке км 29+800  - км 40+200" (2этап)</t>
  </si>
  <si>
    <t xml:space="preserve"> Автомобильная дорога "г. Советская Гавань – рп. Ванино" 
на участке км 29+800 - км 40+200" (1этап)</t>
  </si>
  <si>
    <t>Автомобильная дорога  "рп. Переясловка - с. Аргунское" на участке км 0+000 - км 3+100"</t>
  </si>
  <si>
    <t>* на 1 этапе не 778 а 798 из-за 10% надбавки</t>
  </si>
  <si>
    <r>
      <rPr>
        <sz val="12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</si>
  <si>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2"/>
        <rFont val="Times New Roman"/>
        <family val="1"/>
        <charset val="204"/>
      </rPr>
      <t>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</si>
  <si>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2"/>
        <rFont val="Times New Roman"/>
        <family val="1"/>
        <charset val="204"/>
      </rPr>
      <t>7</t>
    </r>
    <r>
      <rPr>
        <sz val="11"/>
        <color theme="1"/>
        <rFont val="Calibri"/>
        <family val="2"/>
        <charset val="204"/>
        <scheme val="minor"/>
      </rPr>
      <t/>
    </r>
  </si>
  <si>
    <t>Дата завершения контракта</t>
  </si>
  <si>
    <t>Номер и даты исполнения контрактов</t>
  </si>
  <si>
    <t>Номер контракта</t>
  </si>
  <si>
    <t>Подрядная организация</t>
  </si>
  <si>
    <t>ООО "ДВ ЭЛЕКТРО РЕСУРС ГРУПП"</t>
  </si>
  <si>
    <t>ООО "ЧИТАСТРОЙ"</t>
  </si>
  <si>
    <t>АО "Региоснаб"</t>
  </si>
  <si>
    <t>ООО "БлагоСтрой"</t>
  </si>
  <si>
    <t>ООО "Ресурс"</t>
  </si>
  <si>
    <t>ООО "СтройДорСервис"</t>
  </si>
  <si>
    <t>ООО "ПромДорСтрой"</t>
  </si>
  <si>
    <t>Хабаровского края на 2021 год
 в рамках реализации мероприятий национального проекта «БКД»</t>
  </si>
  <si>
    <t>Выполнение работ по капитальному ремонту  объекта "Автомобильная дорога "Подъезд к пос. ст. Кругликово" (устройство освещения) 1,2 этапы</t>
  </si>
  <si>
    <t>Капитальный ремонт</t>
  </si>
  <si>
    <t>Ремонт</t>
  </si>
  <si>
    <t>Перечень объектов</t>
  </si>
  <si>
    <r>
      <rPr>
        <b/>
        <sz val="12"/>
        <rFont val="Times New Roman"/>
        <family val="1"/>
        <charset val="204"/>
      </rPr>
      <t>сети автомобильных дорог регионального или межмуниципального значения</t>
    </r>
  </si>
  <si>
    <t>Итого по объекта ремонта БКАД</t>
  </si>
  <si>
    <t>капитального ремонта и ремонта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</si>
</sst>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₽_-;\-* #,##0.00\ _₽_-;_-* &quot;-&quot;??\ _₽_-;_-@_-"/>
    <numFmt numFmtId="164" formatCode="[$-F800]dddd\,\ mmmm\ dd\,\ yyyy"/>
    <numFmt numFmtId="165" formatCode="0.000"/>
    <numFmt numFmtId="166" formatCode="#,##0.000"/>
    <numFmt numFmtId="167" formatCode="#,##0.00000"/>
    <numFmt numFmtId="168" formatCode="#,##0.000\ _₽"/>
    <numFmt numFmtId="169" formatCode="#,##0.00\ _₽"/>
    <numFmt numFmtId="170" formatCode="0.0"/>
    <numFmt numFmtId="171" formatCode="_-* #,##0.00_₽_-;\-* #,##0.00_₽_-;_-* &quot;-&quot;??_₽_-;_-@_-"/>
    <numFmt numFmtId="172" formatCode="0.00000"/>
    <numFmt numFmtId="173" formatCode="0.0000"/>
    <numFmt numFmtId="174" formatCode="#,##0.0000\ _₽"/>
    <numFmt numFmtId="175" formatCode="#,##0.000_р_."/>
    <numFmt numFmtId="176" formatCode="#,##0.00_р_."/>
  </numFmts>
  <fonts count="8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 CYR"/>
      <family val="1"/>
      <charset val="204"/>
    </font>
    <font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sz val="12"/>
      <name val="Times New Roman Cyr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sz val="14"/>
      <name val="Times New Roman CYR"/>
      <charset val="204"/>
    </font>
    <font>
      <b/>
      <sz val="14"/>
      <name val="Times New Roman"/>
      <family val="2"/>
    </font>
    <font>
      <b/>
      <sz val="14"/>
      <name val="Times New Roman Cyr"/>
      <charset val="204"/>
    </font>
    <font>
      <sz val="14"/>
      <name val="Times New Roman Cyr"/>
      <family val="1"/>
      <charset val="204"/>
    </font>
    <font>
      <b/>
      <sz val="13"/>
      <name val="Times New Roman"/>
      <family val="2"/>
    </font>
    <font>
      <b/>
      <sz val="13"/>
      <name val="Times New Roman Cyr"/>
      <charset val="204"/>
    </font>
    <font>
      <b/>
      <sz val="18"/>
      <name val="Times New Roman Cyr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20"/>
      <name val="Times New Roman Cyr"/>
      <charset val="204"/>
    </font>
    <font>
      <sz val="13"/>
      <name val="Times New Roman Cyr"/>
      <charset val="204"/>
    </font>
    <font>
      <sz val="20"/>
      <name val="Times New Roman Cyr"/>
      <charset val="204"/>
    </font>
    <font>
      <sz val="14"/>
      <name val="Times New Roman"/>
      <family val="2"/>
    </font>
    <font>
      <sz val="13"/>
      <color theme="1"/>
      <name val="Times New Roman Cyr"/>
      <charset val="204"/>
    </font>
    <font>
      <sz val="13"/>
      <name val="Times New Roman"/>
      <family val="2"/>
    </font>
    <font>
      <b/>
      <sz val="18"/>
      <name val="Times New Roman"/>
      <family val="1"/>
      <charset val="204"/>
    </font>
    <font>
      <sz val="13"/>
      <color theme="1"/>
      <name val="Times New Roman Cyr"/>
      <family val="1"/>
      <charset val="204"/>
    </font>
    <font>
      <b/>
      <sz val="13"/>
      <color theme="1"/>
      <name val="Times New Roman Cyr"/>
      <charset val="204"/>
    </font>
    <font>
      <b/>
      <sz val="13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 Cyr"/>
      <charset val="204"/>
    </font>
    <font>
      <b/>
      <sz val="16"/>
      <name val="Times New Roman"/>
      <family val="1"/>
      <charset val="204"/>
    </font>
    <font>
      <sz val="16"/>
      <name val="Times New Roman Cyr"/>
      <family val="1"/>
      <charset val="204"/>
    </font>
    <font>
      <sz val="16"/>
      <color theme="1"/>
      <name val="Times New Roman Cyr"/>
      <family val="1"/>
      <charset val="204"/>
    </font>
    <font>
      <b/>
      <u/>
      <sz val="13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name val="Times New Roman Cyr"/>
      <charset val="204"/>
    </font>
    <font>
      <b/>
      <sz val="20"/>
      <name val="Times New Roman"/>
      <family val="1"/>
      <charset val="204"/>
    </font>
    <font>
      <b/>
      <sz val="13"/>
      <color theme="8" tint="0.59999389629810485"/>
      <name val="Times New Roman Cyr"/>
      <family val="1"/>
      <charset val="204"/>
    </font>
    <font>
      <sz val="11"/>
      <name val="Arial Cyr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family val="1"/>
      <charset val="204"/>
    </font>
    <font>
      <sz val="14"/>
      <color indexed="8"/>
      <name val="Times New Roman Cyr"/>
      <charset val="204"/>
    </font>
    <font>
      <sz val="13"/>
      <color indexed="8"/>
      <name val="Times New Roman Cyr"/>
      <charset val="204"/>
    </font>
    <font>
      <sz val="13"/>
      <color indexed="8"/>
      <name val="Times New Roman Cyr"/>
      <family val="1"/>
      <charset val="204"/>
    </font>
    <font>
      <b/>
      <sz val="13"/>
      <color indexed="8"/>
      <name val="Times New Roman Cyr"/>
      <charset val="204"/>
    </font>
    <font>
      <sz val="14"/>
      <color indexed="8"/>
      <name val="Times New Roman"/>
      <family val="2"/>
    </font>
    <font>
      <sz val="14"/>
      <color indexed="10"/>
      <name val="Times New Roman Cyr"/>
      <family val="1"/>
      <charset val="204"/>
    </font>
    <font>
      <sz val="14"/>
      <color rgb="FFFF0000"/>
      <name val="Times New Roman CYR"/>
      <charset val="204"/>
    </font>
    <font>
      <sz val="13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sz val="12"/>
      <color theme="1"/>
      <name val="Times New Roman"/>
      <family val="1"/>
      <charset val="204"/>
    </font>
    <font>
      <sz val="18"/>
      <name val="Times New Roman Cyr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8"/>
      <name val="Times New Roman Cyr"/>
      <charset val="204"/>
    </font>
    <font>
      <b/>
      <sz val="24"/>
      <name val="Times New Roman"/>
      <family val="1"/>
    </font>
    <font>
      <b/>
      <sz val="18"/>
      <name val="Times New Roman"/>
      <family val="1"/>
    </font>
    <font>
      <sz val="18"/>
      <name val="Times New Roman Cyr"/>
      <charset val="204"/>
    </font>
    <font>
      <sz val="18"/>
      <name val="Times New Roman"/>
      <family val="1"/>
      <charset val="204"/>
    </font>
    <font>
      <sz val="18"/>
      <name val="Times New Roman"/>
      <family val="1"/>
    </font>
    <font>
      <b/>
      <i/>
      <sz val="18"/>
      <name val="Times New Roman Cyr"/>
      <charset val="204"/>
    </font>
    <font>
      <sz val="18"/>
      <color indexed="9"/>
      <name val="Times New Roman"/>
      <family val="1"/>
      <charset val="204"/>
    </font>
    <font>
      <sz val="18"/>
      <color indexed="9"/>
      <name val="Times New Roman Cyr"/>
      <family val="1"/>
      <charset val="204"/>
    </font>
    <font>
      <sz val="18"/>
      <name val="Arial"/>
      <family val="2"/>
      <charset val="204"/>
    </font>
    <font>
      <sz val="18"/>
      <color indexed="8"/>
      <name val="Times New Roman"/>
      <family val="1"/>
      <charset val="204"/>
    </font>
    <font>
      <b/>
      <i/>
      <sz val="18"/>
      <name val="Times New Roman"/>
      <family val="1"/>
      <charset val="204"/>
    </font>
    <font>
      <i/>
      <sz val="18"/>
      <name val="Times New Roman Cyr"/>
      <charset val="204"/>
    </font>
    <font>
      <b/>
      <i/>
      <sz val="18"/>
      <name val="Times New Roman Cyr"/>
      <family val="1"/>
      <charset val="204"/>
    </font>
    <font>
      <i/>
      <sz val="18"/>
      <name val="Times New Roman Cyr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000000"/>
      </patternFill>
    </fill>
  </fills>
  <borders count="6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43" fontId="9" fillId="0" borderId="0" applyFont="0" applyFill="0" applyBorder="0" applyAlignment="0" applyProtection="0"/>
    <xf numFmtId="0" fontId="3" fillId="0" borderId="0"/>
    <xf numFmtId="0" fontId="9" fillId="0" borderId="0"/>
    <xf numFmtId="0" fontId="2" fillId="0" borderId="0"/>
    <xf numFmtId="0" fontId="3" fillId="0" borderId="0"/>
    <xf numFmtId="0" fontId="3" fillId="0" borderId="0"/>
    <xf numFmtId="0" fontId="4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171" fontId="9" fillId="0" borderId="0" applyFont="0" applyFill="0" applyBorder="0" applyAlignment="0" applyProtection="0"/>
  </cellStyleXfs>
  <cellXfs count="1105">
    <xf numFmtId="0" fontId="0" fillId="0" borderId="0" xfId="0"/>
    <xf numFmtId="1" fontId="5" fillId="2" borderId="0" xfId="2" applyNumberFormat="1" applyFont="1" applyFill="1" applyAlignment="1">
      <alignment horizontal="center" vertical="center"/>
    </xf>
    <xf numFmtId="0" fontId="6" fillId="2" borderId="0" xfId="2" applyFont="1" applyFill="1" applyAlignment="1">
      <alignment horizontal="center" vertical="top" wrapText="1"/>
    </xf>
    <xf numFmtId="0" fontId="6" fillId="2" borderId="1" xfId="2" applyFont="1" applyFill="1" applyBorder="1" applyAlignment="1">
      <alignment horizontal="right" vertical="top" wrapText="1"/>
    </xf>
    <xf numFmtId="164" fontId="7" fillId="2" borderId="1" xfId="2" applyNumberFormat="1" applyFont="1" applyFill="1" applyBorder="1" applyAlignment="1">
      <alignment horizontal="left" vertical="top" wrapText="1"/>
    </xf>
    <xf numFmtId="165" fontId="8" fillId="0" borderId="2" xfId="2" applyNumberFormat="1" applyFont="1" applyFill="1" applyBorder="1" applyAlignment="1">
      <alignment horizontal="center" vertical="center" wrapText="1"/>
    </xf>
    <xf numFmtId="165" fontId="8" fillId="2" borderId="2" xfId="2" applyNumberFormat="1" applyFont="1" applyFill="1" applyBorder="1" applyAlignment="1">
      <alignment horizontal="center" vertical="center" wrapText="1"/>
    </xf>
    <xf numFmtId="1" fontId="8" fillId="3" borderId="3" xfId="2" applyNumberFormat="1" applyFont="1" applyFill="1" applyBorder="1" applyAlignment="1">
      <alignment horizontal="center" vertical="center"/>
    </xf>
    <xf numFmtId="1" fontId="14" fillId="2" borderId="0" xfId="2" applyNumberFormat="1" applyFont="1" applyFill="1" applyAlignment="1">
      <alignment horizontal="center" vertical="center"/>
    </xf>
    <xf numFmtId="1" fontId="14" fillId="0" borderId="0" xfId="2" applyNumberFormat="1" applyFont="1" applyAlignment="1">
      <alignment horizontal="center" vertical="center"/>
    </xf>
    <xf numFmtId="166" fontId="18" fillId="4" borderId="15" xfId="0" applyNumberFormat="1" applyFont="1" applyFill="1" applyBorder="1" applyAlignment="1">
      <alignment horizontal="center" vertical="center" wrapText="1"/>
    </xf>
    <xf numFmtId="166" fontId="19" fillId="4" borderId="15" xfId="0" applyNumberFormat="1" applyFont="1" applyFill="1" applyBorder="1" applyAlignment="1">
      <alignment horizontal="center" vertical="center" wrapText="1"/>
    </xf>
    <xf numFmtId="3" fontId="16" fillId="5" borderId="7" xfId="0" applyNumberFormat="1" applyFont="1" applyFill="1" applyBorder="1" applyAlignment="1">
      <alignment horizontal="center" vertical="center" wrapText="1"/>
    </xf>
    <xf numFmtId="166" fontId="16" fillId="5" borderId="2" xfId="0" applyNumberFormat="1" applyFont="1" applyFill="1" applyBorder="1" applyAlignment="1">
      <alignment horizontal="center" vertical="center" wrapText="1"/>
    </xf>
    <xf numFmtId="0" fontId="16" fillId="5" borderId="2" xfId="0" applyNumberFormat="1" applyFont="1" applyFill="1" applyBorder="1" applyAlignment="1">
      <alignment horizontal="center" vertical="center" wrapText="1"/>
    </xf>
    <xf numFmtId="3" fontId="16" fillId="6" borderId="25" xfId="0" applyNumberFormat="1" applyFont="1" applyFill="1" applyBorder="1" applyAlignment="1">
      <alignment horizontal="center" vertical="center" wrapText="1"/>
    </xf>
    <xf numFmtId="166" fontId="16" fillId="6" borderId="28" xfId="0" applyNumberFormat="1" applyFont="1" applyFill="1" applyBorder="1" applyAlignment="1">
      <alignment horizontal="center" vertical="center" wrapText="1"/>
    </xf>
    <xf numFmtId="0" fontId="16" fillId="6" borderId="28" xfId="0" applyNumberFormat="1" applyFont="1" applyFill="1" applyBorder="1" applyAlignment="1">
      <alignment horizontal="center" vertical="center" wrapText="1"/>
    </xf>
    <xf numFmtId="1" fontId="21" fillId="0" borderId="2" xfId="0" applyNumberFormat="1" applyFont="1" applyFill="1" applyBorder="1" applyAlignment="1">
      <alignment horizontal="center" vertical="center" wrapText="1"/>
    </xf>
    <xf numFmtId="49" fontId="21" fillId="2" borderId="2" xfId="2" applyNumberFormat="1" applyFont="1" applyFill="1" applyBorder="1" applyAlignment="1">
      <alignment vertical="center" wrapText="1" shrinkToFit="1"/>
    </xf>
    <xf numFmtId="0" fontId="23" fillId="2" borderId="2" xfId="0" applyNumberFormat="1" applyFont="1" applyFill="1" applyBorder="1" applyAlignment="1">
      <alignment horizontal="center" vertical="center" wrapText="1"/>
    </xf>
    <xf numFmtId="1" fontId="21" fillId="2" borderId="2" xfId="2" applyNumberFormat="1" applyFont="1" applyFill="1" applyBorder="1" applyAlignment="1">
      <alignment horizontal="center" vertical="center"/>
    </xf>
    <xf numFmtId="166" fontId="21" fillId="2" borderId="2" xfId="0" applyNumberFormat="1" applyFont="1" applyFill="1" applyBorder="1" applyAlignment="1">
      <alignment horizontal="center" vertical="center" wrapText="1"/>
    </xf>
    <xf numFmtId="166" fontId="24" fillId="2" borderId="2" xfId="0" applyNumberFormat="1" applyFont="1" applyFill="1" applyBorder="1" applyAlignment="1">
      <alignment horizontal="center" vertical="center" wrapText="1"/>
    </xf>
    <xf numFmtId="1" fontId="14" fillId="2" borderId="0" xfId="2" applyNumberFormat="1" applyFont="1" applyFill="1" applyBorder="1" applyAlignment="1">
      <alignment horizontal="center" vertical="center"/>
    </xf>
    <xf numFmtId="166" fontId="24" fillId="5" borderId="2" xfId="0" applyNumberFormat="1" applyFont="1" applyFill="1" applyBorder="1" applyAlignment="1">
      <alignment horizontal="center" vertical="center" wrapText="1"/>
    </xf>
    <xf numFmtId="0" fontId="21" fillId="5" borderId="2" xfId="2" applyFont="1" applyFill="1" applyBorder="1" applyAlignment="1">
      <alignment horizontal="center" vertical="center" wrapText="1"/>
    </xf>
    <xf numFmtId="1" fontId="23" fillId="2" borderId="2" xfId="0" applyNumberFormat="1" applyFont="1" applyFill="1" applyBorder="1" applyAlignment="1">
      <alignment horizontal="center" vertical="center" wrapText="1"/>
    </xf>
    <xf numFmtId="0" fontId="23" fillId="2" borderId="2" xfId="0" applyNumberFormat="1" applyFont="1" applyFill="1" applyBorder="1" applyAlignment="1">
      <alignment horizontal="left" vertical="center" wrapText="1"/>
    </xf>
    <xf numFmtId="1" fontId="23" fillId="2" borderId="2" xfId="0" applyNumberFormat="1" applyFont="1" applyFill="1" applyBorder="1" applyAlignment="1">
      <alignment horizontal="left" vertical="center" wrapText="1"/>
    </xf>
    <xf numFmtId="166" fontId="23" fillId="2" borderId="2" xfId="0" applyNumberFormat="1" applyFont="1" applyFill="1" applyBorder="1" applyAlignment="1">
      <alignment horizontal="center" vertical="center" wrapText="1"/>
    </xf>
    <xf numFmtId="1" fontId="16" fillId="6" borderId="2" xfId="0" applyNumberFormat="1" applyFont="1" applyFill="1" applyBorder="1" applyAlignment="1">
      <alignment horizontal="center" vertical="center" wrapText="1"/>
    </xf>
    <xf numFmtId="165" fontId="18" fillId="6" borderId="2" xfId="0" applyNumberFormat="1" applyFont="1" applyFill="1" applyBorder="1" applyAlignment="1">
      <alignment horizontal="center" vertical="center" wrapText="1"/>
    </xf>
    <xf numFmtId="165" fontId="26" fillId="6" borderId="2" xfId="0" applyNumberFormat="1" applyFont="1" applyFill="1" applyBorder="1" applyAlignment="1">
      <alignment horizontal="center" vertical="center" wrapText="1"/>
    </xf>
    <xf numFmtId="165" fontId="26" fillId="6" borderId="3" xfId="0" applyNumberFormat="1" applyFont="1" applyFill="1" applyBorder="1" applyAlignment="1">
      <alignment horizontal="center" vertical="center" wrapText="1"/>
    </xf>
    <xf numFmtId="166" fontId="16" fillId="6" borderId="3" xfId="0" applyNumberFormat="1" applyFont="1" applyFill="1" applyBorder="1" applyAlignment="1">
      <alignment horizontal="center" vertical="center" wrapText="1"/>
    </xf>
    <xf numFmtId="166" fontId="28" fillId="6" borderId="3" xfId="0" applyNumberFormat="1" applyFont="1" applyFill="1" applyBorder="1" applyAlignment="1">
      <alignment horizontal="center" vertical="center" wrapText="1"/>
    </xf>
    <xf numFmtId="0" fontId="29" fillId="6" borderId="3" xfId="2" applyFont="1" applyFill="1" applyBorder="1"/>
    <xf numFmtId="0" fontId="29" fillId="2" borderId="0" xfId="2" applyFont="1" applyFill="1"/>
    <xf numFmtId="167" fontId="30" fillId="2" borderId="2" xfId="0" applyNumberFormat="1" applyFont="1" applyFill="1" applyBorder="1" applyAlignment="1">
      <alignment horizontal="left" vertical="center" wrapText="1"/>
    </xf>
    <xf numFmtId="0" fontId="12" fillId="2" borderId="2" xfId="0" applyNumberFormat="1" applyFont="1" applyFill="1" applyBorder="1" applyAlignment="1">
      <alignment horizontal="left" vertical="center" wrapText="1"/>
    </xf>
    <xf numFmtId="49" fontId="21" fillId="2" borderId="2" xfId="2" applyNumberFormat="1" applyFont="1" applyFill="1" applyBorder="1" applyAlignment="1">
      <alignment horizontal="center" vertical="center" wrapText="1"/>
    </xf>
    <xf numFmtId="1" fontId="5" fillId="2" borderId="2" xfId="2" applyNumberFormat="1" applyFont="1" applyFill="1" applyBorder="1" applyAlignment="1">
      <alignment horizontal="center" vertical="center" wrapText="1"/>
    </xf>
    <xf numFmtId="1" fontId="27" fillId="2" borderId="2" xfId="2" applyNumberFormat="1" applyFont="1" applyFill="1" applyBorder="1" applyAlignment="1">
      <alignment horizontal="center" vertical="center"/>
    </xf>
    <xf numFmtId="1" fontId="5" fillId="2" borderId="2" xfId="2" applyNumberFormat="1" applyFont="1" applyFill="1" applyBorder="1" applyAlignment="1">
      <alignment horizontal="center" vertical="center"/>
    </xf>
    <xf numFmtId="166" fontId="31" fillId="2" borderId="2" xfId="0" applyNumberFormat="1" applyFont="1" applyFill="1" applyBorder="1" applyAlignment="1">
      <alignment horizontal="center" vertical="center" wrapText="1"/>
    </xf>
    <xf numFmtId="166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1" fontId="5" fillId="2" borderId="3" xfId="2" applyNumberFormat="1" applyFont="1" applyFill="1" applyBorder="1" applyAlignment="1">
      <alignment horizontal="center" vertical="center" wrapText="1"/>
    </xf>
    <xf numFmtId="1" fontId="21" fillId="2" borderId="3" xfId="2" applyNumberFormat="1" applyFont="1" applyFill="1" applyBorder="1" applyAlignment="1">
      <alignment horizontal="center" vertical="center"/>
    </xf>
    <xf numFmtId="1" fontId="27" fillId="2" borderId="3" xfId="2" applyNumberFormat="1" applyFont="1" applyFill="1" applyBorder="1" applyAlignment="1">
      <alignment horizontal="center" vertical="center"/>
    </xf>
    <xf numFmtId="1" fontId="5" fillId="2" borderId="3" xfId="2" applyNumberFormat="1" applyFont="1" applyFill="1" applyBorder="1" applyAlignment="1">
      <alignment horizontal="center" vertical="center"/>
    </xf>
    <xf numFmtId="166" fontId="24" fillId="2" borderId="3" xfId="0" applyNumberFormat="1" applyFont="1" applyFill="1" applyBorder="1" applyAlignment="1">
      <alignment horizontal="center" vertical="center" wrapText="1"/>
    </xf>
    <xf numFmtId="166" fontId="31" fillId="2" borderId="3" xfId="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166" fontId="12" fillId="2" borderId="3" xfId="0" applyNumberFormat="1" applyFont="1" applyFill="1" applyBorder="1" applyAlignment="1">
      <alignment horizontal="center" vertical="center" wrapText="1"/>
    </xf>
    <xf numFmtId="1" fontId="31" fillId="2" borderId="2" xfId="0" applyNumberFormat="1" applyFont="1" applyFill="1" applyBorder="1" applyAlignment="1">
      <alignment horizontal="center" vertical="center" wrapText="1"/>
    </xf>
    <xf numFmtId="1" fontId="5" fillId="0" borderId="0" xfId="2" applyNumberFormat="1" applyFont="1" applyAlignment="1">
      <alignment horizontal="center" vertical="center"/>
    </xf>
    <xf numFmtId="0" fontId="16" fillId="7" borderId="0" xfId="2" applyFont="1" applyFill="1"/>
    <xf numFmtId="4" fontId="16" fillId="7" borderId="0" xfId="2" applyNumberFormat="1" applyFont="1" applyFill="1"/>
    <xf numFmtId="1" fontId="21" fillId="5" borderId="19" xfId="0" applyNumberFormat="1" applyFont="1" applyFill="1" applyBorder="1" applyAlignment="1">
      <alignment horizontal="center" vertical="center" wrapText="1"/>
    </xf>
    <xf numFmtId="165" fontId="26" fillId="5" borderId="2" xfId="0" applyNumberFormat="1" applyFont="1" applyFill="1" applyBorder="1" applyAlignment="1">
      <alignment horizontal="center" vertical="center" wrapText="1"/>
    </xf>
    <xf numFmtId="165" fontId="5" fillId="5" borderId="7" xfId="2" applyNumberFormat="1" applyFont="1" applyFill="1" applyBorder="1" applyAlignment="1">
      <alignment horizontal="center" vertical="center" wrapText="1"/>
    </xf>
    <xf numFmtId="49" fontId="5" fillId="5" borderId="2" xfId="2" applyNumberFormat="1" applyFont="1" applyFill="1" applyBorder="1" applyAlignment="1">
      <alignment horizontal="center" vertical="center" wrapText="1"/>
    </xf>
    <xf numFmtId="1" fontId="21" fillId="5" borderId="2" xfId="2" applyNumberFormat="1" applyFont="1" applyFill="1" applyBorder="1" applyAlignment="1">
      <alignment horizontal="center" vertical="center" wrapText="1"/>
    </xf>
    <xf numFmtId="165" fontId="5" fillId="5" borderId="2" xfId="2" applyNumberFormat="1" applyFont="1" applyFill="1" applyBorder="1" applyAlignment="1">
      <alignment horizontal="center" vertical="center" wrapText="1"/>
    </xf>
    <xf numFmtId="1" fontId="5" fillId="5" borderId="2" xfId="2" applyNumberFormat="1" applyFont="1" applyFill="1" applyBorder="1" applyAlignment="1">
      <alignment horizontal="center" vertical="center" wrapText="1"/>
    </xf>
    <xf numFmtId="1" fontId="21" fillId="5" borderId="2" xfId="2" applyNumberFormat="1" applyFont="1" applyFill="1" applyBorder="1" applyAlignment="1">
      <alignment horizontal="center" vertical="center"/>
    </xf>
    <xf numFmtId="1" fontId="27" fillId="5" borderId="2" xfId="2" applyNumberFormat="1" applyFont="1" applyFill="1" applyBorder="1" applyAlignment="1">
      <alignment horizontal="center" vertical="center"/>
    </xf>
    <xf numFmtId="0" fontId="5" fillId="2" borderId="0" xfId="2" applyFont="1" applyFill="1"/>
    <xf numFmtId="1" fontId="21" fillId="0" borderId="32" xfId="0" applyNumberFormat="1" applyFont="1" applyFill="1" applyBorder="1" applyAlignment="1">
      <alignment horizontal="center" vertical="center" wrapText="1"/>
    </xf>
    <xf numFmtId="165" fontId="19" fillId="0" borderId="6" xfId="0" applyNumberFormat="1" applyFont="1" applyFill="1" applyBorder="1" applyAlignment="1">
      <alignment horizontal="left" vertical="center" wrapText="1"/>
    </xf>
    <xf numFmtId="165" fontId="5" fillId="2" borderId="7" xfId="2" applyNumberFormat="1" applyFont="1" applyFill="1" applyBorder="1" applyAlignment="1">
      <alignment horizontal="center" vertical="center" wrapText="1"/>
    </xf>
    <xf numFmtId="49" fontId="5" fillId="2" borderId="2" xfId="2" applyNumberFormat="1" applyFont="1" applyFill="1" applyBorder="1" applyAlignment="1">
      <alignment horizontal="center" vertical="center" wrapText="1"/>
    </xf>
    <xf numFmtId="1" fontId="24" fillId="2" borderId="2" xfId="2" applyNumberFormat="1" applyFont="1" applyFill="1" applyBorder="1" applyAlignment="1">
      <alignment horizontal="center" vertical="center" wrapText="1"/>
    </xf>
    <xf numFmtId="49" fontId="27" fillId="2" borderId="2" xfId="2" applyNumberFormat="1" applyFont="1" applyFill="1" applyBorder="1" applyAlignment="1">
      <alignment horizontal="center" vertical="center"/>
    </xf>
    <xf numFmtId="166" fontId="21" fillId="0" borderId="2" xfId="0" applyNumberFormat="1" applyFont="1" applyFill="1" applyBorder="1" applyAlignment="1">
      <alignment horizontal="center" vertical="center" wrapText="1"/>
    </xf>
    <xf numFmtId="166" fontId="5" fillId="0" borderId="2" xfId="2" applyNumberFormat="1" applyFont="1" applyFill="1" applyBorder="1" applyAlignment="1">
      <alignment horizontal="center" vertical="center"/>
    </xf>
    <xf numFmtId="166" fontId="27" fillId="2" borderId="2" xfId="2" applyNumberFormat="1" applyFont="1" applyFill="1" applyBorder="1" applyAlignment="1">
      <alignment horizontal="center" vertical="center"/>
    </xf>
    <xf numFmtId="166" fontId="27" fillId="0" borderId="2" xfId="2" applyNumberFormat="1" applyFont="1" applyFill="1" applyBorder="1" applyAlignment="1">
      <alignment horizontal="center" vertical="center"/>
    </xf>
    <xf numFmtId="4" fontId="21" fillId="2" borderId="2" xfId="2" applyNumberFormat="1" applyFont="1" applyFill="1" applyBorder="1" applyAlignment="1">
      <alignment horizontal="center" vertical="center" wrapText="1"/>
    </xf>
    <xf numFmtId="1" fontId="27" fillId="2" borderId="6" xfId="2" applyNumberFormat="1" applyFont="1" applyFill="1" applyBorder="1" applyAlignment="1">
      <alignment horizontal="center" vertical="center"/>
    </xf>
    <xf numFmtId="1" fontId="21" fillId="0" borderId="19" xfId="0" applyNumberFormat="1" applyFont="1" applyFill="1" applyBorder="1" applyAlignment="1">
      <alignment horizontal="center" vertical="center" wrapText="1"/>
    </xf>
    <xf numFmtId="1" fontId="21" fillId="2" borderId="2" xfId="2" applyNumberFormat="1" applyFont="1" applyFill="1" applyBorder="1" applyAlignment="1">
      <alignment horizontal="center" vertical="center" wrapText="1"/>
    </xf>
    <xf numFmtId="1" fontId="32" fillId="5" borderId="2" xfId="0" applyNumberFormat="1" applyFont="1" applyFill="1" applyBorder="1" applyAlignment="1">
      <alignment horizontal="center" vertical="center" wrapText="1"/>
    </xf>
    <xf numFmtId="165" fontId="33" fillId="5" borderId="2" xfId="0" applyNumberFormat="1" applyFont="1" applyFill="1" applyBorder="1" applyAlignment="1">
      <alignment horizontal="center" vertical="center" wrapText="1"/>
    </xf>
    <xf numFmtId="165" fontId="34" fillId="5" borderId="2" xfId="2" applyNumberFormat="1" applyFont="1" applyFill="1" applyBorder="1" applyAlignment="1">
      <alignment horizontal="center" vertical="center" wrapText="1"/>
    </xf>
    <xf numFmtId="49" fontId="34" fillId="5" borderId="2" xfId="2" applyNumberFormat="1" applyFont="1" applyFill="1" applyBorder="1" applyAlignment="1">
      <alignment horizontal="center" vertical="center" wrapText="1"/>
    </xf>
    <xf numFmtId="0" fontId="32" fillId="5" borderId="2" xfId="3" applyFont="1" applyFill="1" applyBorder="1" applyAlignment="1">
      <alignment horizontal="center" vertical="center" wrapText="1"/>
    </xf>
    <xf numFmtId="1" fontId="34" fillId="5" borderId="2" xfId="2" applyNumberFormat="1" applyFont="1" applyFill="1" applyBorder="1" applyAlignment="1">
      <alignment horizontal="center" vertical="center" wrapText="1"/>
    </xf>
    <xf numFmtId="1" fontId="32" fillId="5" borderId="2" xfId="2" applyNumberFormat="1" applyFont="1" applyFill="1" applyBorder="1" applyAlignment="1">
      <alignment horizontal="center" vertical="center"/>
    </xf>
    <xf numFmtId="1" fontId="35" fillId="5" borderId="2" xfId="2" applyNumberFormat="1" applyFont="1" applyFill="1" applyBorder="1" applyAlignment="1">
      <alignment horizontal="center" vertical="center"/>
    </xf>
    <xf numFmtId="166" fontId="28" fillId="5" borderId="2" xfId="0" applyNumberFormat="1" applyFont="1" applyFill="1" applyBorder="1" applyAlignment="1">
      <alignment horizontal="center" vertical="center" wrapText="1"/>
    </xf>
    <xf numFmtId="166" fontId="24" fillId="5" borderId="6" xfId="0" applyNumberFormat="1" applyFont="1" applyFill="1" applyBorder="1" applyAlignment="1">
      <alignment horizontal="center" vertical="center" wrapText="1"/>
    </xf>
    <xf numFmtId="0" fontId="32" fillId="5" borderId="2" xfId="2" applyFont="1" applyFill="1" applyBorder="1" applyAlignment="1">
      <alignment horizontal="center" vertical="center" wrapText="1"/>
    </xf>
    <xf numFmtId="0" fontId="34" fillId="2" borderId="0" xfId="2" applyFont="1" applyFill="1"/>
    <xf numFmtId="165" fontId="5" fillId="2" borderId="31" xfId="2" applyNumberFormat="1" applyFont="1" applyFill="1" applyBorder="1" applyAlignment="1">
      <alignment horizontal="center" vertical="center" wrapText="1"/>
    </xf>
    <xf numFmtId="49" fontId="5" fillId="2" borderId="6" xfId="2" applyNumberFormat="1" applyFont="1" applyFill="1" applyBorder="1" applyAlignment="1">
      <alignment horizontal="center" vertical="center" wrapText="1"/>
    </xf>
    <xf numFmtId="49" fontId="21" fillId="2" borderId="6" xfId="2" applyNumberFormat="1" applyFont="1" applyFill="1" applyBorder="1" applyAlignment="1">
      <alignment horizontal="center" vertical="center" wrapText="1"/>
    </xf>
    <xf numFmtId="1" fontId="5" fillId="2" borderId="6" xfId="2" applyNumberFormat="1" applyFont="1" applyFill="1" applyBorder="1" applyAlignment="1">
      <alignment horizontal="center" vertical="center" wrapText="1"/>
    </xf>
    <xf numFmtId="1" fontId="24" fillId="2" borderId="6" xfId="2" applyNumberFormat="1" applyFont="1" applyFill="1" applyBorder="1" applyAlignment="1">
      <alignment horizontal="center" vertical="center" wrapText="1"/>
    </xf>
    <xf numFmtId="49" fontId="27" fillId="2" borderId="6" xfId="2" applyNumberFormat="1" applyFont="1" applyFill="1" applyBorder="1" applyAlignment="1">
      <alignment horizontal="center" vertical="center"/>
    </xf>
    <xf numFmtId="166" fontId="21" fillId="0" borderId="6" xfId="0" applyNumberFormat="1" applyFont="1" applyFill="1" applyBorder="1" applyAlignment="1">
      <alignment horizontal="center" vertical="center" wrapText="1"/>
    </xf>
    <xf numFmtId="166" fontId="5" fillId="0" borderId="6" xfId="2" applyNumberFormat="1" applyFont="1" applyFill="1" applyBorder="1" applyAlignment="1">
      <alignment horizontal="center" vertical="center"/>
    </xf>
    <xf numFmtId="166" fontId="24" fillId="2" borderId="6" xfId="0" applyNumberFormat="1" applyFont="1" applyFill="1" applyBorder="1" applyAlignment="1">
      <alignment horizontal="center" vertical="center" wrapText="1"/>
    </xf>
    <xf numFmtId="166" fontId="27" fillId="2" borderId="6" xfId="2" applyNumberFormat="1" applyFont="1" applyFill="1" applyBorder="1" applyAlignment="1">
      <alignment horizontal="center" vertical="center"/>
    </xf>
    <xf numFmtId="166" fontId="27" fillId="0" borderId="6" xfId="2" applyNumberFormat="1" applyFont="1" applyFill="1" applyBorder="1" applyAlignment="1">
      <alignment horizontal="center" vertical="center"/>
    </xf>
    <xf numFmtId="166" fontId="21" fillId="2" borderId="6" xfId="0" applyNumberFormat="1" applyFont="1" applyFill="1" applyBorder="1" applyAlignment="1">
      <alignment horizontal="center" vertical="center" wrapText="1"/>
    </xf>
    <xf numFmtId="4" fontId="21" fillId="2" borderId="6" xfId="2" applyNumberFormat="1" applyFont="1" applyFill="1" applyBorder="1" applyAlignment="1">
      <alignment horizontal="center" vertical="center" wrapText="1"/>
    </xf>
    <xf numFmtId="1" fontId="21" fillId="2" borderId="2" xfId="0" applyNumberFormat="1" applyFont="1" applyFill="1" applyBorder="1" applyAlignment="1">
      <alignment horizontal="center" vertical="center" wrapText="1"/>
    </xf>
    <xf numFmtId="166" fontId="31" fillId="2" borderId="6" xfId="4" applyNumberFormat="1" applyFont="1" applyFill="1" applyBorder="1" applyAlignment="1">
      <alignment horizontal="left" vertical="center" wrapText="1"/>
    </xf>
    <xf numFmtId="49" fontId="39" fillId="2" borderId="2" xfId="4" applyNumberFormat="1" applyFont="1" applyFill="1" applyBorder="1" applyAlignment="1">
      <alignment horizontal="center" vertical="center" wrapText="1"/>
    </xf>
    <xf numFmtId="2" fontId="5" fillId="2" borderId="2" xfId="2" applyNumberFormat="1" applyFont="1" applyFill="1" applyBorder="1" applyAlignment="1">
      <alignment horizontal="center" vertical="center"/>
    </xf>
    <xf numFmtId="166" fontId="5" fillId="2" borderId="2" xfId="2" applyNumberFormat="1" applyFont="1" applyFill="1" applyBorder="1" applyAlignment="1">
      <alignment horizontal="center" vertical="center"/>
    </xf>
    <xf numFmtId="166" fontId="11" fillId="2" borderId="2" xfId="2" applyNumberFormat="1" applyFont="1" applyFill="1" applyBorder="1" applyAlignment="1">
      <alignment horizontal="center" vertical="center" wrapText="1"/>
    </xf>
    <xf numFmtId="0" fontId="5" fillId="2" borderId="2" xfId="2" applyFont="1" applyFill="1" applyBorder="1"/>
    <xf numFmtId="166" fontId="31" fillId="2" borderId="2" xfId="4" applyNumberFormat="1" applyFont="1" applyFill="1" applyBorder="1" applyAlignment="1">
      <alignment horizontal="left" vertical="center" wrapText="1"/>
    </xf>
    <xf numFmtId="0" fontId="31" fillId="2" borderId="2" xfId="4" applyFont="1" applyFill="1" applyBorder="1" applyAlignment="1">
      <alignment horizontal="left" vertical="center" wrapText="1"/>
    </xf>
    <xf numFmtId="166" fontId="31" fillId="2" borderId="5" xfId="4" applyNumberFormat="1" applyFont="1" applyFill="1" applyBorder="1" applyAlignment="1">
      <alignment horizontal="left" vertical="center" wrapText="1"/>
    </xf>
    <xf numFmtId="165" fontId="19" fillId="0" borderId="2" xfId="0" applyNumberFormat="1" applyFont="1" applyFill="1" applyBorder="1" applyAlignment="1">
      <alignment horizontal="left" vertical="center" wrapText="1"/>
    </xf>
    <xf numFmtId="1" fontId="21" fillId="0" borderId="3" xfId="0" applyNumberFormat="1" applyFont="1" applyFill="1" applyBorder="1" applyAlignment="1">
      <alignment horizontal="center" vertical="center" wrapText="1"/>
    </xf>
    <xf numFmtId="165" fontId="5" fillId="0" borderId="7" xfId="2" applyNumberFormat="1" applyFont="1" applyFill="1" applyBorder="1" applyAlignment="1">
      <alignment horizontal="center" vertical="center" wrapText="1"/>
    </xf>
    <xf numFmtId="1" fontId="21" fillId="0" borderId="2" xfId="2" applyNumberFormat="1" applyFont="1" applyFill="1" applyBorder="1" applyAlignment="1">
      <alignment horizontal="center" vertical="center" wrapText="1"/>
    </xf>
    <xf numFmtId="166" fontId="5" fillId="2" borderId="3" xfId="0" applyNumberFormat="1" applyFont="1" applyFill="1" applyBorder="1" applyAlignment="1">
      <alignment horizontal="center" vertical="center" wrapText="1"/>
    </xf>
    <xf numFmtId="166" fontId="5" fillId="2" borderId="3" xfId="2" applyNumberFormat="1" applyFont="1" applyFill="1" applyBorder="1" applyAlignment="1">
      <alignment horizontal="center" vertical="center"/>
    </xf>
    <xf numFmtId="166" fontId="21" fillId="2" borderId="3" xfId="0" applyNumberFormat="1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165" fontId="5" fillId="0" borderId="2" xfId="2" applyNumberFormat="1" applyFont="1" applyFill="1" applyBorder="1" applyAlignment="1">
      <alignment horizontal="center" vertical="center" wrapText="1"/>
    </xf>
    <xf numFmtId="1" fontId="21" fillId="0" borderId="3" xfId="2" applyNumberFormat="1" applyFont="1" applyFill="1" applyBorder="1" applyAlignment="1">
      <alignment horizontal="center" vertical="center" wrapText="1"/>
    </xf>
    <xf numFmtId="49" fontId="39" fillId="2" borderId="3" xfId="4" applyNumberFormat="1" applyFont="1" applyFill="1" applyBorder="1" applyAlignment="1">
      <alignment horizontal="center" vertical="center" wrapText="1"/>
    </xf>
    <xf numFmtId="3" fontId="16" fillId="5" borderId="2" xfId="0" applyNumberFormat="1" applyFont="1" applyFill="1" applyBorder="1" applyAlignment="1">
      <alignment horizontal="center" vertical="center" wrapText="1"/>
    </xf>
    <xf numFmtId="166" fontId="16" fillId="6" borderId="2" xfId="0" applyNumberFormat="1" applyFont="1" applyFill="1" applyBorder="1" applyAlignment="1">
      <alignment horizontal="center" vertical="center" wrapText="1"/>
    </xf>
    <xf numFmtId="1" fontId="11" fillId="2" borderId="2" xfId="2" applyNumberFormat="1" applyFont="1" applyFill="1" applyBorder="1" applyAlignment="1">
      <alignment horizontal="center" vertical="center"/>
    </xf>
    <xf numFmtId="165" fontId="19" fillId="2" borderId="3" xfId="0" applyNumberFormat="1" applyFont="1" applyFill="1" applyBorder="1" applyAlignment="1">
      <alignment horizontal="center" vertical="center" wrapText="1"/>
    </xf>
    <xf numFmtId="165" fontId="5" fillId="2" borderId="2" xfId="2" applyNumberFormat="1" applyFont="1" applyFill="1" applyBorder="1" applyAlignment="1">
      <alignment horizontal="center" vertical="center" wrapText="1"/>
    </xf>
    <xf numFmtId="165" fontId="21" fillId="2" borderId="2" xfId="2" applyNumberFormat="1" applyFont="1" applyFill="1" applyBorder="1" applyAlignment="1">
      <alignment horizontal="center" vertical="center" wrapText="1"/>
    </xf>
    <xf numFmtId="0" fontId="19" fillId="2" borderId="2" xfId="2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/>
    </xf>
    <xf numFmtId="0" fontId="13" fillId="2" borderId="2" xfId="2" applyFont="1" applyFill="1" applyBorder="1"/>
    <xf numFmtId="0" fontId="13" fillId="2" borderId="2" xfId="2" applyFont="1" applyFill="1" applyBorder="1" applyAlignment="1">
      <alignment horizontal="center" vertical="center"/>
    </xf>
    <xf numFmtId="0" fontId="13" fillId="2" borderId="0" xfId="2" applyFont="1" applyFill="1"/>
    <xf numFmtId="1" fontId="21" fillId="5" borderId="33" xfId="0" applyNumberFormat="1" applyFont="1" applyFill="1" applyBorder="1" applyAlignment="1">
      <alignment horizontal="center" vertical="center" wrapText="1"/>
    </xf>
    <xf numFmtId="165" fontId="41" fillId="5" borderId="3" xfId="0" applyNumberFormat="1" applyFont="1" applyFill="1" applyBorder="1" applyAlignment="1">
      <alignment horizontal="center" vertical="center" wrapText="1"/>
    </xf>
    <xf numFmtId="165" fontId="5" fillId="5" borderId="4" xfId="2" applyNumberFormat="1" applyFont="1" applyFill="1" applyBorder="1" applyAlignment="1">
      <alignment horizontal="center" vertical="center" wrapText="1"/>
    </xf>
    <xf numFmtId="49" fontId="5" fillId="5" borderId="3" xfId="2" applyNumberFormat="1" applyFont="1" applyFill="1" applyBorder="1" applyAlignment="1">
      <alignment horizontal="center" vertical="center" wrapText="1"/>
    </xf>
    <xf numFmtId="1" fontId="21" fillId="5" borderId="3" xfId="2" applyNumberFormat="1" applyFont="1" applyFill="1" applyBorder="1" applyAlignment="1">
      <alignment horizontal="center" vertical="center" wrapText="1"/>
    </xf>
    <xf numFmtId="165" fontId="5" fillId="5" borderId="3" xfId="2" applyNumberFormat="1" applyFont="1" applyFill="1" applyBorder="1" applyAlignment="1">
      <alignment horizontal="center" vertical="center" wrapText="1"/>
    </xf>
    <xf numFmtId="1" fontId="5" fillId="5" borderId="3" xfId="2" applyNumberFormat="1" applyFont="1" applyFill="1" applyBorder="1" applyAlignment="1">
      <alignment horizontal="center" vertical="center" wrapText="1"/>
    </xf>
    <xf numFmtId="1" fontId="21" fillId="5" borderId="3" xfId="2" applyNumberFormat="1" applyFont="1" applyFill="1" applyBorder="1" applyAlignment="1">
      <alignment horizontal="center" vertical="center"/>
    </xf>
    <xf numFmtId="1" fontId="27" fillId="5" borderId="3" xfId="2" applyNumberFormat="1" applyFont="1" applyFill="1" applyBorder="1" applyAlignment="1">
      <alignment horizontal="center" vertical="center"/>
    </xf>
    <xf numFmtId="166" fontId="16" fillId="5" borderId="3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49" fontId="5" fillId="2" borderId="3" xfId="2" applyNumberFormat="1" applyFont="1" applyFill="1" applyBorder="1" applyAlignment="1">
      <alignment horizontal="center" vertical="center" wrapText="1"/>
    </xf>
    <xf numFmtId="1" fontId="24" fillId="2" borderId="3" xfId="2" applyNumberFormat="1" applyFont="1" applyFill="1" applyBorder="1" applyAlignment="1">
      <alignment horizontal="center" vertical="center" wrapText="1"/>
    </xf>
    <xf numFmtId="49" fontId="27" fillId="2" borderId="3" xfId="2" applyNumberFormat="1" applyFont="1" applyFill="1" applyBorder="1" applyAlignment="1">
      <alignment horizontal="center" vertical="center"/>
    </xf>
    <xf numFmtId="166" fontId="21" fillId="0" borderId="3" xfId="0" applyNumberFormat="1" applyFont="1" applyFill="1" applyBorder="1" applyAlignment="1">
      <alignment horizontal="center" vertical="center" wrapText="1"/>
    </xf>
    <xf numFmtId="166" fontId="5" fillId="0" borderId="3" xfId="2" applyNumberFormat="1" applyFont="1" applyFill="1" applyBorder="1" applyAlignment="1">
      <alignment horizontal="center" vertical="center"/>
    </xf>
    <xf numFmtId="166" fontId="11" fillId="2" borderId="3" xfId="1" applyNumberFormat="1" applyFont="1" applyFill="1" applyBorder="1" applyAlignment="1">
      <alignment horizontal="center" vertical="center"/>
    </xf>
    <xf numFmtId="165" fontId="21" fillId="2" borderId="3" xfId="2" applyNumberFormat="1" applyFont="1" applyFill="1" applyBorder="1" applyAlignment="1">
      <alignment horizontal="center" vertical="center" wrapText="1"/>
    </xf>
    <xf numFmtId="49" fontId="21" fillId="2" borderId="3" xfId="2" applyNumberFormat="1" applyFont="1" applyFill="1" applyBorder="1" applyAlignment="1">
      <alignment horizontal="center" vertical="center" wrapText="1"/>
    </xf>
    <xf numFmtId="2" fontId="11" fillId="2" borderId="3" xfId="2" applyNumberFormat="1" applyFont="1" applyFill="1" applyBorder="1" applyAlignment="1">
      <alignment horizontal="center" vertical="center"/>
    </xf>
    <xf numFmtId="165" fontId="26" fillId="0" borderId="3" xfId="0" applyNumberFormat="1" applyFont="1" applyFill="1" applyBorder="1" applyAlignment="1">
      <alignment horizontal="center" vertical="center" wrapText="1"/>
    </xf>
    <xf numFmtId="166" fontId="16" fillId="0" borderId="3" xfId="0" applyNumberFormat="1" applyFont="1" applyFill="1" applyBorder="1" applyAlignment="1">
      <alignment horizontal="center" vertical="center" wrapText="1"/>
    </xf>
    <xf numFmtId="0" fontId="29" fillId="0" borderId="3" xfId="2" applyFont="1" applyFill="1" applyBorder="1"/>
    <xf numFmtId="0" fontId="29" fillId="0" borderId="0" xfId="2" applyFont="1" applyFill="1"/>
    <xf numFmtId="1" fontId="16" fillId="0" borderId="2" xfId="0" applyNumberFormat="1" applyFont="1" applyFill="1" applyBorder="1" applyAlignment="1">
      <alignment horizontal="center" vertical="center" wrapText="1"/>
    </xf>
    <xf numFmtId="165" fontId="18" fillId="0" borderId="2" xfId="0" applyNumberFormat="1" applyFont="1" applyFill="1" applyBorder="1" applyAlignment="1">
      <alignment horizontal="center" vertical="center" wrapText="1"/>
    </xf>
    <xf numFmtId="165" fontId="26" fillId="0" borderId="2" xfId="0" applyNumberFormat="1" applyFont="1" applyFill="1" applyBorder="1" applyAlignment="1">
      <alignment horizontal="center" vertical="center" wrapText="1"/>
    </xf>
    <xf numFmtId="166" fontId="28" fillId="0" borderId="3" xfId="0" applyNumberFormat="1" applyFont="1" applyFill="1" applyBorder="1" applyAlignment="1">
      <alignment horizontal="center" vertical="center" wrapText="1"/>
    </xf>
    <xf numFmtId="165" fontId="19" fillId="2" borderId="2" xfId="0" applyNumberFormat="1" applyFont="1" applyFill="1" applyBorder="1" applyAlignment="1">
      <alignment horizontal="left" vertical="center" wrapText="1"/>
    </xf>
    <xf numFmtId="49" fontId="19" fillId="0" borderId="6" xfId="2" applyNumberFormat="1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/>
    </xf>
    <xf numFmtId="0" fontId="13" fillId="0" borderId="6" xfId="2" applyFont="1" applyFill="1" applyBorder="1"/>
    <xf numFmtId="165" fontId="21" fillId="2" borderId="6" xfId="2" applyNumberFormat="1" applyFont="1" applyFill="1" applyBorder="1" applyAlignment="1">
      <alignment horizontal="center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165" fontId="21" fillId="2" borderId="2" xfId="2" applyNumberFormat="1" applyFont="1" applyFill="1" applyBorder="1" applyAlignment="1">
      <alignment horizontal="left" vertical="center" wrapText="1"/>
    </xf>
    <xf numFmtId="49" fontId="5" fillId="0" borderId="2" xfId="2" applyNumberFormat="1" applyFont="1" applyFill="1" applyBorder="1" applyAlignment="1">
      <alignment horizontal="center" vertical="center" wrapText="1"/>
    </xf>
    <xf numFmtId="165" fontId="21" fillId="0" borderId="2" xfId="2" applyNumberFormat="1" applyFont="1" applyFill="1" applyBorder="1" applyAlignment="1">
      <alignment horizontal="center" vertical="center" wrapText="1"/>
    </xf>
    <xf numFmtId="1" fontId="19" fillId="2" borderId="2" xfId="2" applyNumberFormat="1" applyFont="1" applyFill="1" applyBorder="1" applyAlignment="1">
      <alignment horizontal="center" vertical="center" wrapText="1"/>
    </xf>
    <xf numFmtId="1" fontId="5" fillId="0" borderId="2" xfId="2" applyNumberFormat="1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/>
    </xf>
    <xf numFmtId="1" fontId="21" fillId="0" borderId="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2" fontId="11" fillId="0" borderId="2" xfId="2" applyNumberFormat="1" applyFont="1" applyFill="1" applyBorder="1" applyAlignment="1">
      <alignment horizontal="center" vertical="center"/>
    </xf>
    <xf numFmtId="0" fontId="13" fillId="0" borderId="2" xfId="2" applyFont="1" applyFill="1" applyBorder="1"/>
    <xf numFmtId="2" fontId="19" fillId="0" borderId="2" xfId="2" applyNumberFormat="1" applyFont="1" applyFill="1" applyBorder="1" applyAlignment="1">
      <alignment horizontal="center" vertical="center" wrapText="1"/>
    </xf>
    <xf numFmtId="0" fontId="19" fillId="0" borderId="2" xfId="2" applyFont="1" applyFill="1" applyBorder="1" applyAlignment="1">
      <alignment horizontal="center" vertical="center" wrapText="1"/>
    </xf>
    <xf numFmtId="1" fontId="19" fillId="0" borderId="2" xfId="2" applyNumberFormat="1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2" fontId="21" fillId="2" borderId="2" xfId="2" applyNumberFormat="1" applyFont="1" applyFill="1" applyBorder="1" applyAlignment="1">
      <alignment horizontal="left" vertical="center" wrapText="1"/>
    </xf>
    <xf numFmtId="2" fontId="5" fillId="0" borderId="2" xfId="2" applyNumberFormat="1" applyFont="1" applyFill="1" applyBorder="1" applyAlignment="1">
      <alignment horizontal="center" vertical="center"/>
    </xf>
    <xf numFmtId="0" fontId="21" fillId="0" borderId="2" xfId="2" applyNumberFormat="1" applyFont="1" applyFill="1" applyBorder="1" applyAlignment="1">
      <alignment horizontal="center" vertical="center"/>
    </xf>
    <xf numFmtId="2" fontId="11" fillId="0" borderId="2" xfId="2" applyNumberFormat="1" applyFont="1" applyFill="1" applyBorder="1" applyAlignment="1">
      <alignment horizontal="center" vertical="center" wrapText="1"/>
    </xf>
    <xf numFmtId="4" fontId="11" fillId="0" borderId="2" xfId="2" applyNumberFormat="1" applyFont="1" applyFill="1" applyBorder="1" applyAlignment="1">
      <alignment horizontal="center" vertical="center"/>
    </xf>
    <xf numFmtId="2" fontId="21" fillId="0" borderId="2" xfId="2" applyNumberFormat="1" applyFont="1" applyFill="1" applyBorder="1" applyAlignment="1">
      <alignment horizontal="left" vertical="center" wrapText="1"/>
    </xf>
    <xf numFmtId="4" fontId="5" fillId="0" borderId="2" xfId="2" applyNumberFormat="1" applyFont="1" applyFill="1" applyBorder="1" applyAlignment="1">
      <alignment horizontal="center" vertical="center"/>
    </xf>
    <xf numFmtId="49" fontId="19" fillId="0" borderId="2" xfId="2" applyNumberFormat="1" applyFont="1" applyFill="1" applyBorder="1" applyAlignment="1">
      <alignment horizontal="center" vertical="center" wrapText="1"/>
    </xf>
    <xf numFmtId="166" fontId="16" fillId="0" borderId="2" xfId="0" applyNumberFormat="1" applyFont="1" applyFill="1" applyBorder="1" applyAlignment="1">
      <alignment horizontal="center" vertical="center" wrapText="1"/>
    </xf>
    <xf numFmtId="0" fontId="31" fillId="0" borderId="2" xfId="5" applyFont="1" applyFill="1" applyBorder="1" applyAlignment="1">
      <alignment horizontal="left" vertical="center" wrapText="1"/>
    </xf>
    <xf numFmtId="0" fontId="31" fillId="0" borderId="2" xfId="2" applyFont="1" applyFill="1" applyBorder="1" applyAlignment="1">
      <alignment horizontal="center" vertical="center" wrapText="1"/>
    </xf>
    <xf numFmtId="49" fontId="31" fillId="0" borderId="6" xfId="2" applyNumberFormat="1" applyFont="1" applyFill="1" applyBorder="1" applyAlignment="1">
      <alignment horizontal="center" vertical="center" wrapText="1"/>
    </xf>
    <xf numFmtId="49" fontId="31" fillId="0" borderId="2" xfId="5" applyNumberFormat="1" applyFont="1" applyFill="1" applyBorder="1" applyAlignment="1">
      <alignment vertical="center" wrapText="1"/>
    </xf>
    <xf numFmtId="49" fontId="31" fillId="0" borderId="2" xfId="6" applyNumberFormat="1" applyFont="1" applyFill="1" applyBorder="1" applyAlignment="1">
      <alignment vertical="center" wrapText="1"/>
    </xf>
    <xf numFmtId="49" fontId="31" fillId="0" borderId="2" xfId="6" applyNumberFormat="1" applyFont="1" applyFill="1" applyBorder="1" applyAlignment="1">
      <alignment horizontal="left" vertical="center" wrapText="1"/>
    </xf>
    <xf numFmtId="49" fontId="31" fillId="0" borderId="2" xfId="5" applyNumberFormat="1" applyFont="1" applyFill="1" applyBorder="1" applyAlignment="1">
      <alignment horizontal="left" vertical="center" wrapText="1"/>
    </xf>
    <xf numFmtId="0" fontId="14" fillId="0" borderId="2" xfId="6" applyFont="1" applyFill="1" applyBorder="1" applyAlignment="1">
      <alignment horizontal="left" vertical="center" wrapText="1"/>
    </xf>
    <xf numFmtId="1" fontId="31" fillId="0" borderId="2" xfId="5" applyNumberFormat="1" applyFont="1" applyFill="1" applyBorder="1" applyAlignment="1">
      <alignment horizontal="left" vertical="center" wrapText="1"/>
    </xf>
    <xf numFmtId="0" fontId="29" fillId="0" borderId="2" xfId="2" applyFont="1" applyFill="1" applyBorder="1"/>
    <xf numFmtId="0" fontId="29" fillId="6" borderId="2" xfId="2" applyFont="1" applyFill="1" applyBorder="1"/>
    <xf numFmtId="1" fontId="14" fillId="0" borderId="2" xfId="2" applyNumberFormat="1" applyFont="1" applyFill="1" applyBorder="1" applyAlignment="1">
      <alignment horizontal="center" vertical="center"/>
    </xf>
    <xf numFmtId="1" fontId="14" fillId="0" borderId="2" xfId="2" applyNumberFormat="1" applyFont="1" applyFill="1" applyBorder="1" applyAlignment="1">
      <alignment horizontal="center" vertical="center" wrapText="1"/>
    </xf>
    <xf numFmtId="168" fontId="31" fillId="0" borderId="2" xfId="5" applyNumberFormat="1" applyFont="1" applyFill="1" applyBorder="1" applyAlignment="1">
      <alignment horizontal="center" vertical="center" wrapText="1"/>
    </xf>
    <xf numFmtId="2" fontId="31" fillId="0" borderId="2" xfId="5" applyNumberFormat="1" applyFont="1" applyFill="1" applyBorder="1" applyAlignment="1">
      <alignment horizontal="center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165" fontId="11" fillId="0" borderId="2" xfId="2" applyNumberFormat="1" applyFont="1" applyFill="1" applyBorder="1" applyAlignment="1">
      <alignment horizontal="center" vertical="center" wrapText="1"/>
    </xf>
    <xf numFmtId="165" fontId="14" fillId="0" borderId="2" xfId="2" applyNumberFormat="1" applyFont="1" applyFill="1" applyBorder="1" applyAlignment="1">
      <alignment horizontal="center" vertical="center"/>
    </xf>
    <xf numFmtId="166" fontId="14" fillId="0" borderId="2" xfId="2" applyNumberFormat="1" applyFont="1" applyFill="1" applyBorder="1" applyAlignment="1">
      <alignment horizontal="center" vertical="center"/>
    </xf>
    <xf numFmtId="169" fontId="31" fillId="0" borderId="2" xfId="5" applyNumberFormat="1" applyFont="1" applyFill="1" applyBorder="1" applyAlignment="1">
      <alignment horizontal="center" vertical="center" wrapText="1"/>
    </xf>
    <xf numFmtId="169" fontId="11" fillId="0" borderId="2" xfId="7" applyNumberFormat="1" applyFont="1" applyFill="1" applyBorder="1" applyAlignment="1">
      <alignment horizontal="center" vertical="center" wrapText="1"/>
    </xf>
    <xf numFmtId="168" fontId="31" fillId="0" borderId="2" xfId="7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center" wrapText="1"/>
    </xf>
    <xf numFmtId="1" fontId="11" fillId="0" borderId="6" xfId="2" applyNumberFormat="1" applyFont="1" applyFill="1" applyBorder="1" applyAlignment="1">
      <alignment horizontal="center" vertical="center"/>
    </xf>
    <xf numFmtId="0" fontId="19" fillId="0" borderId="6" xfId="2" applyFont="1" applyFill="1" applyBorder="1" applyAlignment="1">
      <alignment horizontal="center" vertical="center" wrapText="1"/>
    </xf>
    <xf numFmtId="1" fontId="5" fillId="0" borderId="6" xfId="2" applyNumberFormat="1" applyFont="1" applyFill="1" applyBorder="1" applyAlignment="1">
      <alignment horizontal="center" vertical="center"/>
    </xf>
    <xf numFmtId="1" fontId="21" fillId="0" borderId="6" xfId="2" applyNumberFormat="1" applyFont="1" applyFill="1" applyBorder="1" applyAlignment="1">
      <alignment horizontal="center" vertical="center"/>
    </xf>
    <xf numFmtId="1" fontId="5" fillId="0" borderId="6" xfId="2" applyNumberFormat="1" applyFont="1" applyFill="1" applyBorder="1" applyAlignment="1">
      <alignment horizontal="center" vertical="center" wrapText="1"/>
    </xf>
    <xf numFmtId="165" fontId="21" fillId="0" borderId="6" xfId="2" applyNumberFormat="1" applyFont="1" applyFill="1" applyBorder="1" applyAlignment="1">
      <alignment horizontal="center" vertical="center" wrapText="1"/>
    </xf>
    <xf numFmtId="49" fontId="31" fillId="2" borderId="2" xfId="5" applyNumberFormat="1" applyFont="1" applyFill="1" applyBorder="1" applyAlignment="1">
      <alignment horizontal="left" vertical="center" wrapText="1"/>
    </xf>
    <xf numFmtId="168" fontId="31" fillId="0" borderId="2" xfId="6" applyNumberFormat="1" applyFont="1" applyFill="1" applyBorder="1" applyAlignment="1">
      <alignment horizontal="center" vertical="center" wrapText="1"/>
    </xf>
    <xf numFmtId="1" fontId="31" fillId="0" borderId="2" xfId="5" applyNumberFormat="1" applyFont="1" applyFill="1" applyBorder="1" applyAlignment="1">
      <alignment horizontal="center" vertical="center" wrapText="1"/>
    </xf>
    <xf numFmtId="170" fontId="31" fillId="0" borderId="2" xfId="5" applyNumberFormat="1" applyFont="1" applyFill="1" applyBorder="1" applyAlignment="1">
      <alignment horizontal="center" vertical="center" wrapText="1"/>
    </xf>
    <xf numFmtId="0" fontId="31" fillId="0" borderId="2" xfId="5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left" vertical="center" wrapText="1"/>
    </xf>
    <xf numFmtId="3" fontId="16" fillId="6" borderId="28" xfId="0" applyNumberFormat="1" applyFont="1" applyFill="1" applyBorder="1" applyAlignment="1">
      <alignment horizontal="center" vertical="center" wrapText="1"/>
    </xf>
    <xf numFmtId="0" fontId="15" fillId="6" borderId="28" xfId="0" applyNumberFormat="1" applyFont="1" applyFill="1" applyBorder="1" applyAlignment="1">
      <alignment horizontal="left" vertical="center" wrapText="1"/>
    </xf>
    <xf numFmtId="165" fontId="19" fillId="2" borderId="3" xfId="0" applyNumberFormat="1" applyFont="1" applyFill="1" applyBorder="1" applyAlignment="1">
      <alignment horizontal="left" vertical="center" wrapText="1"/>
    </xf>
    <xf numFmtId="166" fontId="28" fillId="5" borderId="6" xfId="2" applyNumberFormat="1" applyFont="1" applyFill="1" applyBorder="1" applyAlignment="1">
      <alignment horizontal="center" vertical="center"/>
    </xf>
    <xf numFmtId="166" fontId="16" fillId="5" borderId="2" xfId="2" applyNumberFormat="1" applyFont="1" applyFill="1" applyBorder="1" applyAlignment="1">
      <alignment horizontal="center" vertical="center"/>
    </xf>
    <xf numFmtId="0" fontId="21" fillId="2" borderId="2" xfId="2" applyFont="1" applyFill="1" applyBorder="1" applyAlignment="1">
      <alignment horizontal="center" vertical="center" wrapText="1"/>
    </xf>
    <xf numFmtId="0" fontId="45" fillId="2" borderId="2" xfId="0" applyFont="1" applyFill="1" applyBorder="1" applyAlignment="1">
      <alignment horizontal="center" vertical="center" wrapText="1"/>
    </xf>
    <xf numFmtId="4" fontId="19" fillId="2" borderId="2" xfId="2" applyNumberFormat="1" applyFont="1" applyFill="1" applyBorder="1" applyAlignment="1">
      <alignment horizontal="center" vertical="center" wrapText="1"/>
    </xf>
    <xf numFmtId="165" fontId="34" fillId="2" borderId="3" xfId="2" applyNumberFormat="1" applyFont="1" applyFill="1" applyBorder="1" applyAlignment="1">
      <alignment horizontal="center" vertical="center"/>
    </xf>
    <xf numFmtId="4" fontId="5" fillId="2" borderId="2" xfId="2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 wrapText="1"/>
    </xf>
    <xf numFmtId="1" fontId="31" fillId="2" borderId="1" xfId="5" applyNumberFormat="1" applyFont="1" applyFill="1" applyBorder="1" applyAlignment="1">
      <alignment horizontal="left" vertical="center" wrapText="1"/>
    </xf>
    <xf numFmtId="165" fontId="38" fillId="0" borderId="2" xfId="0" applyNumberFormat="1" applyFont="1" applyFill="1" applyBorder="1" applyAlignment="1">
      <alignment horizontal="center" vertical="center" wrapText="1"/>
    </xf>
    <xf numFmtId="165" fontId="38" fillId="0" borderId="3" xfId="0" applyNumberFormat="1" applyFont="1" applyFill="1" applyBorder="1" applyAlignment="1">
      <alignment horizontal="center" vertical="center" wrapText="1"/>
    </xf>
    <xf numFmtId="49" fontId="31" fillId="0" borderId="2" xfId="2" applyNumberFormat="1" applyFont="1" applyFill="1" applyBorder="1" applyAlignment="1">
      <alignment horizontal="center" vertical="center" wrapText="1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3" fillId="0" borderId="3" xfId="0" applyNumberFormat="1" applyFont="1" applyFill="1" applyBorder="1" applyAlignment="1">
      <alignment horizontal="center" vertical="center" wrapText="1"/>
    </xf>
    <xf numFmtId="0" fontId="46" fillId="0" borderId="3" xfId="2" applyFont="1" applyFill="1" applyBorder="1"/>
    <xf numFmtId="0" fontId="46" fillId="0" borderId="0" xfId="2" applyFont="1" applyFill="1"/>
    <xf numFmtId="166" fontId="14" fillId="0" borderId="3" xfId="2" applyNumberFormat="1" applyFont="1" applyFill="1" applyBorder="1" applyAlignment="1">
      <alignment horizontal="center" vertical="center"/>
    </xf>
    <xf numFmtId="1" fontId="31" fillId="0" borderId="2" xfId="5" applyNumberFormat="1" applyFont="1" applyFill="1" applyBorder="1" applyAlignment="1">
      <alignment vertical="center" wrapText="1"/>
    </xf>
    <xf numFmtId="0" fontId="31" fillId="0" borderId="2" xfId="0" applyFont="1" applyFill="1" applyBorder="1" applyAlignment="1">
      <alignment vertical="center" wrapText="1"/>
    </xf>
    <xf numFmtId="166" fontId="31" fillId="0" borderId="2" xfId="0" applyNumberFormat="1" applyFont="1" applyFill="1" applyBorder="1" applyAlignment="1">
      <alignment horizontal="left" vertical="center" wrapText="1"/>
    </xf>
    <xf numFmtId="0" fontId="31" fillId="0" borderId="6" xfId="2" applyFont="1" applyFill="1" applyBorder="1" applyAlignment="1">
      <alignment horizontal="center" vertical="center" wrapText="1"/>
    </xf>
    <xf numFmtId="1" fontId="31" fillId="0" borderId="3" xfId="5" applyNumberFormat="1" applyFont="1" applyFill="1" applyBorder="1" applyAlignment="1">
      <alignment horizontal="left" vertical="center" wrapText="1"/>
    </xf>
    <xf numFmtId="0" fontId="31" fillId="0" borderId="3" xfId="2" applyFont="1" applyFill="1" applyBorder="1" applyAlignment="1">
      <alignment horizontal="center" vertical="center" wrapText="1"/>
    </xf>
    <xf numFmtId="49" fontId="31" fillId="0" borderId="3" xfId="2" applyNumberFormat="1" applyFont="1" applyFill="1" applyBorder="1" applyAlignment="1">
      <alignment horizontal="center" vertical="center" wrapText="1"/>
    </xf>
    <xf numFmtId="1" fontId="31" fillId="0" borderId="2" xfId="8" applyNumberFormat="1" applyFont="1" applyFill="1" applyBorder="1" applyAlignment="1">
      <alignment horizontal="left" vertical="center" wrapText="1"/>
    </xf>
    <xf numFmtId="0" fontId="13" fillId="7" borderId="0" xfId="2" applyFont="1" applyFill="1"/>
    <xf numFmtId="168" fontId="39" fillId="0" borderId="2" xfId="0" applyNumberFormat="1" applyFont="1" applyFill="1" applyBorder="1" applyAlignment="1">
      <alignment horizontal="center" vertical="center" wrapText="1"/>
    </xf>
    <xf numFmtId="0" fontId="14" fillId="2" borderId="0" xfId="2" applyFont="1" applyFill="1"/>
    <xf numFmtId="0" fontId="13" fillId="8" borderId="0" xfId="2" applyFont="1" applyFill="1"/>
    <xf numFmtId="0" fontId="14" fillId="9" borderId="0" xfId="2" applyFont="1" applyFill="1"/>
    <xf numFmtId="0" fontId="14" fillId="0" borderId="0" xfId="2" applyFont="1"/>
    <xf numFmtId="168" fontId="31" fillId="0" borderId="2" xfId="0" applyNumberFormat="1" applyFont="1" applyFill="1" applyBorder="1" applyAlignment="1">
      <alignment horizontal="center" vertical="center" wrapText="1"/>
    </xf>
    <xf numFmtId="49" fontId="31" fillId="0" borderId="2" xfId="0" applyNumberFormat="1" applyFont="1" applyFill="1" applyBorder="1" applyAlignment="1">
      <alignment horizontal="left" vertical="center" wrapText="1"/>
    </xf>
    <xf numFmtId="1" fontId="14" fillId="0" borderId="6" xfId="2" applyNumberFormat="1" applyFont="1" applyFill="1" applyBorder="1" applyAlignment="1">
      <alignment horizontal="center" vertical="center"/>
    </xf>
    <xf numFmtId="1" fontId="14" fillId="0" borderId="6" xfId="2" applyNumberFormat="1" applyFont="1" applyFill="1" applyBorder="1" applyAlignment="1">
      <alignment horizontal="center" vertical="center" wrapText="1"/>
    </xf>
    <xf numFmtId="166" fontId="14" fillId="0" borderId="6" xfId="2" applyNumberFormat="1" applyFont="1" applyFill="1" applyBorder="1" applyAlignment="1">
      <alignment horizontal="center" vertical="center"/>
    </xf>
    <xf numFmtId="166" fontId="11" fillId="0" borderId="6" xfId="0" applyNumberFormat="1" applyFont="1" applyFill="1" applyBorder="1" applyAlignment="1">
      <alignment horizontal="center" vertical="center" wrapText="1"/>
    </xf>
    <xf numFmtId="165" fontId="11" fillId="0" borderId="6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1" fontId="14" fillId="0" borderId="3" xfId="2" applyNumberFormat="1" applyFont="1" applyFill="1" applyBorder="1" applyAlignment="1">
      <alignment horizontal="center" vertical="center"/>
    </xf>
    <xf numFmtId="1" fontId="14" fillId="0" borderId="3" xfId="2" applyNumberFormat="1" applyFont="1" applyFill="1" applyBorder="1" applyAlignment="1">
      <alignment horizontal="center" vertical="center" wrapText="1"/>
    </xf>
    <xf numFmtId="165" fontId="11" fillId="0" borderId="3" xfId="2" applyNumberFormat="1" applyFont="1" applyFill="1" applyBorder="1" applyAlignment="1">
      <alignment horizontal="center" vertical="center" wrapText="1"/>
    </xf>
    <xf numFmtId="1" fontId="15" fillId="4" borderId="15" xfId="0" applyNumberFormat="1" applyFont="1" applyFill="1" applyBorder="1" applyAlignment="1">
      <alignment horizontal="center" vertical="center" wrapText="1"/>
    </xf>
    <xf numFmtId="2" fontId="15" fillId="4" borderId="34" xfId="0" applyNumberFormat="1" applyFont="1" applyFill="1" applyBorder="1" applyAlignment="1">
      <alignment horizontal="center" vertical="center" wrapText="1"/>
    </xf>
    <xf numFmtId="0" fontId="47" fillId="0" borderId="0" xfId="2" applyFont="1"/>
    <xf numFmtId="0" fontId="15" fillId="5" borderId="35" xfId="0" applyNumberFormat="1" applyFont="1" applyFill="1" applyBorder="1" applyAlignment="1">
      <alignment horizontal="center" vertical="center" wrapText="1"/>
    </xf>
    <xf numFmtId="0" fontId="15" fillId="6" borderId="36" xfId="0" applyNumberFormat="1" applyFont="1" applyFill="1" applyBorder="1" applyAlignment="1">
      <alignment horizontal="center" vertical="center" wrapText="1"/>
    </xf>
    <xf numFmtId="1" fontId="48" fillId="0" borderId="2" xfId="9" applyNumberFormat="1" applyFont="1" applyFill="1" applyBorder="1" applyAlignment="1">
      <alignment horizontal="left" vertical="center" wrapText="1"/>
    </xf>
    <xf numFmtId="165" fontId="13" fillId="0" borderId="2" xfId="2" applyNumberFormat="1" applyFont="1" applyFill="1" applyBorder="1" applyAlignment="1">
      <alignment vertical="center"/>
    </xf>
    <xf numFmtId="1" fontId="13" fillId="0" borderId="2" xfId="2" applyNumberFormat="1" applyFont="1" applyFill="1" applyBorder="1" applyAlignment="1">
      <alignment horizontal="center" vertical="center"/>
    </xf>
    <xf numFmtId="166" fontId="13" fillId="0" borderId="2" xfId="0" applyNumberFormat="1" applyFont="1" applyFill="1" applyBorder="1" applyAlignment="1">
      <alignment horizontal="center" vertical="center" wrapText="1"/>
    </xf>
    <xf numFmtId="4" fontId="11" fillId="0" borderId="2" xfId="9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left" vertical="center" wrapText="1"/>
    </xf>
    <xf numFmtId="0" fontId="48" fillId="0" borderId="2" xfId="9" applyFont="1" applyFill="1" applyBorder="1" applyAlignment="1">
      <alignment horizontal="left" vertical="center" wrapText="1"/>
    </xf>
    <xf numFmtId="4" fontId="11" fillId="0" borderId="2" xfId="7" applyNumberFormat="1" applyFont="1" applyFill="1" applyBorder="1" applyAlignment="1">
      <alignment horizontal="center" vertical="center" wrapText="1"/>
    </xf>
    <xf numFmtId="1" fontId="21" fillId="5" borderId="2" xfId="0" applyNumberFormat="1" applyFont="1" applyFill="1" applyBorder="1" applyAlignment="1">
      <alignment horizontal="center" vertical="center" wrapText="1"/>
    </xf>
    <xf numFmtId="165" fontId="41" fillId="5" borderId="2" xfId="0" applyNumberFormat="1" applyFont="1" applyFill="1" applyBorder="1" applyAlignment="1">
      <alignment horizontal="center" vertical="center" wrapText="1"/>
    </xf>
    <xf numFmtId="4" fontId="11" fillId="0" borderId="0" xfId="9" applyNumberFormat="1" applyFont="1" applyFill="1" applyBorder="1" applyAlignment="1">
      <alignment horizontal="center" vertical="center" wrapText="1"/>
    </xf>
    <xf numFmtId="4" fontId="11" fillId="0" borderId="2" xfId="9" applyNumberFormat="1" applyFont="1" applyFill="1" applyBorder="1" applyAlignment="1">
      <alignment horizontal="center" vertical="center"/>
    </xf>
    <xf numFmtId="0" fontId="48" fillId="0" borderId="3" xfId="9" applyFont="1" applyFill="1" applyBorder="1" applyAlignment="1">
      <alignment horizontal="left" vertical="center" wrapText="1"/>
    </xf>
    <xf numFmtId="0" fontId="31" fillId="0" borderId="5" xfId="2" applyFont="1" applyFill="1" applyBorder="1" applyAlignment="1">
      <alignment horizontal="center" vertical="center" wrapText="1"/>
    </xf>
    <xf numFmtId="1" fontId="14" fillId="0" borderId="5" xfId="2" applyNumberFormat="1" applyFont="1" applyFill="1" applyBorder="1" applyAlignment="1">
      <alignment horizontal="center" vertical="center"/>
    </xf>
    <xf numFmtId="1" fontId="11" fillId="0" borderId="5" xfId="2" applyNumberFormat="1" applyFont="1" applyFill="1" applyBorder="1" applyAlignment="1">
      <alignment horizontal="center" vertical="center"/>
    </xf>
    <xf numFmtId="1" fontId="14" fillId="0" borderId="5" xfId="2" applyNumberFormat="1" applyFont="1" applyFill="1" applyBorder="1" applyAlignment="1">
      <alignment horizontal="center" vertical="center" wrapText="1"/>
    </xf>
    <xf numFmtId="166" fontId="14" fillId="0" borderId="5" xfId="2" applyNumberFormat="1" applyFont="1" applyFill="1" applyBorder="1" applyAlignment="1">
      <alignment horizontal="center" vertical="center"/>
    </xf>
    <xf numFmtId="4" fontId="11" fillId="0" borderId="3" xfId="7" applyNumberFormat="1" applyFont="1" applyFill="1" applyBorder="1" applyAlignment="1">
      <alignment horizontal="center" vertical="center" wrapText="1"/>
    </xf>
    <xf numFmtId="0" fontId="13" fillId="0" borderId="5" xfId="2" applyFont="1" applyFill="1" applyBorder="1"/>
    <xf numFmtId="166" fontId="11" fillId="0" borderId="5" xfId="0" applyNumberFormat="1" applyFont="1" applyFill="1" applyBorder="1" applyAlignment="1">
      <alignment horizontal="center" vertical="center" wrapText="1"/>
    </xf>
    <xf numFmtId="165" fontId="11" fillId="0" borderId="5" xfId="2" applyNumberFormat="1" applyFont="1" applyFill="1" applyBorder="1" applyAlignment="1">
      <alignment horizontal="center" vertical="center" wrapText="1"/>
    </xf>
    <xf numFmtId="1" fontId="47" fillId="2" borderId="0" xfId="2" applyNumberFormat="1" applyFont="1" applyFill="1"/>
    <xf numFmtId="0" fontId="47" fillId="2" borderId="0" xfId="2" applyFont="1" applyFill="1"/>
    <xf numFmtId="0" fontId="47" fillId="2" borderId="0" xfId="2" applyFont="1" applyFill="1" applyAlignment="1">
      <alignment horizontal="center" vertical="center"/>
    </xf>
    <xf numFmtId="166" fontId="5" fillId="2" borderId="2" xfId="2" applyNumberFormat="1" applyFont="1" applyFill="1" applyBorder="1" applyAlignment="1">
      <alignment horizontal="center" vertical="center" wrapText="1"/>
    </xf>
    <xf numFmtId="2" fontId="14" fillId="0" borderId="2" xfId="2" applyNumberFormat="1" applyFont="1" applyFill="1" applyBorder="1" applyAlignment="1">
      <alignment horizontal="center" vertical="center"/>
    </xf>
    <xf numFmtId="2" fontId="31" fillId="0" borderId="2" xfId="5" applyNumberFormat="1" applyFont="1" applyFill="1" applyBorder="1" applyAlignment="1">
      <alignment horizontal="center" vertical="center"/>
    </xf>
    <xf numFmtId="2" fontId="14" fillId="0" borderId="6" xfId="2" applyNumberFormat="1" applyFont="1" applyFill="1" applyBorder="1" applyAlignment="1">
      <alignment horizontal="center" vertical="center"/>
    </xf>
    <xf numFmtId="4" fontId="16" fillId="6" borderId="2" xfId="0" applyNumberFormat="1" applyFont="1" applyFill="1" applyBorder="1" applyAlignment="1">
      <alignment horizontal="center" vertical="center" wrapText="1"/>
    </xf>
    <xf numFmtId="4" fontId="13" fillId="0" borderId="2" xfId="2" applyNumberFormat="1" applyFont="1" applyFill="1" applyBorder="1"/>
    <xf numFmtId="4" fontId="31" fillId="0" borderId="2" xfId="5" applyNumberFormat="1" applyFont="1" applyFill="1" applyBorder="1" applyAlignment="1">
      <alignment horizontal="center" vertical="center" wrapText="1"/>
    </xf>
    <xf numFmtId="4" fontId="31" fillId="0" borderId="2" xfId="5" applyNumberFormat="1" applyFont="1" applyFill="1" applyBorder="1" applyAlignment="1">
      <alignment horizontal="center" vertical="center"/>
    </xf>
    <xf numFmtId="4" fontId="13" fillId="0" borderId="6" xfId="2" applyNumberFormat="1" applyFont="1" applyFill="1" applyBorder="1"/>
    <xf numFmtId="49" fontId="21" fillId="3" borderId="2" xfId="2" applyNumberFormat="1" applyFont="1" applyFill="1" applyBorder="1" applyAlignment="1">
      <alignment vertical="center" wrapText="1" shrinkToFit="1"/>
    </xf>
    <xf numFmtId="165" fontId="22" fillId="3" borderId="2" xfId="2" applyNumberFormat="1" applyFont="1" applyFill="1" applyBorder="1" applyAlignment="1">
      <alignment vertical="center"/>
    </xf>
    <xf numFmtId="0" fontId="23" fillId="3" borderId="2" xfId="0" applyNumberFormat="1" applyFont="1" applyFill="1" applyBorder="1" applyAlignment="1">
      <alignment horizontal="center" vertical="center" wrapText="1"/>
    </xf>
    <xf numFmtId="1" fontId="21" fillId="3" borderId="2" xfId="2" applyNumberFormat="1" applyFont="1" applyFill="1" applyBorder="1" applyAlignment="1">
      <alignment horizontal="center" vertical="center"/>
    </xf>
    <xf numFmtId="0" fontId="21" fillId="3" borderId="2" xfId="2" applyFont="1" applyFill="1" applyBorder="1"/>
    <xf numFmtId="166" fontId="21" fillId="3" borderId="2" xfId="0" applyNumberFormat="1" applyFont="1" applyFill="1" applyBorder="1" applyAlignment="1">
      <alignment horizontal="center" vertical="center" wrapText="1"/>
    </xf>
    <xf numFmtId="3" fontId="21" fillId="3" borderId="2" xfId="0" applyNumberFormat="1" applyFont="1" applyFill="1" applyBorder="1" applyAlignment="1">
      <alignment horizontal="center" vertical="center" wrapText="1"/>
    </xf>
    <xf numFmtId="166" fontId="49" fillId="3" borderId="2" xfId="0" applyNumberFormat="1" applyFont="1" applyFill="1" applyBorder="1" applyAlignment="1">
      <alignment horizontal="center" vertical="center" wrapText="1"/>
    </xf>
    <xf numFmtId="0" fontId="25" fillId="3" borderId="2" xfId="0" applyNumberFormat="1" applyFont="1" applyFill="1" applyBorder="1" applyAlignment="1">
      <alignment horizontal="left" vertical="center" wrapText="1"/>
    </xf>
    <xf numFmtId="1" fontId="21" fillId="10" borderId="32" xfId="0" applyNumberFormat="1" applyFont="1" applyFill="1" applyBorder="1" applyAlignment="1">
      <alignment horizontal="center" vertical="center" wrapText="1"/>
    </xf>
    <xf numFmtId="165" fontId="26" fillId="10" borderId="6" xfId="0" applyNumberFormat="1" applyFont="1" applyFill="1" applyBorder="1" applyAlignment="1">
      <alignment horizontal="center" vertical="center" wrapText="1"/>
    </xf>
    <xf numFmtId="165" fontId="5" fillId="10" borderId="31" xfId="2" applyNumberFormat="1" applyFont="1" applyFill="1" applyBorder="1" applyAlignment="1">
      <alignment horizontal="center" vertical="center" wrapText="1"/>
    </xf>
    <xf numFmtId="49" fontId="5" fillId="10" borderId="6" xfId="2" applyNumberFormat="1" applyFont="1" applyFill="1" applyBorder="1" applyAlignment="1">
      <alignment horizontal="center" vertical="center" wrapText="1"/>
    </xf>
    <xf numFmtId="1" fontId="21" fillId="10" borderId="6" xfId="2" applyNumberFormat="1" applyFont="1" applyFill="1" applyBorder="1" applyAlignment="1">
      <alignment horizontal="center" vertical="center" wrapText="1"/>
    </xf>
    <xf numFmtId="165" fontId="5" fillId="10" borderId="6" xfId="2" applyNumberFormat="1" applyFont="1" applyFill="1" applyBorder="1" applyAlignment="1">
      <alignment horizontal="center" vertical="center" wrapText="1"/>
    </xf>
    <xf numFmtId="1" fontId="5" fillId="10" borderId="6" xfId="2" applyNumberFormat="1" applyFont="1" applyFill="1" applyBorder="1" applyAlignment="1">
      <alignment horizontal="center" vertical="center" wrapText="1"/>
    </xf>
    <xf numFmtId="1" fontId="21" fillId="10" borderId="6" xfId="2" applyNumberFormat="1" applyFont="1" applyFill="1" applyBorder="1" applyAlignment="1">
      <alignment horizontal="center" vertical="center"/>
    </xf>
    <xf numFmtId="1" fontId="50" fillId="10" borderId="6" xfId="2" applyNumberFormat="1" applyFont="1" applyFill="1" applyBorder="1" applyAlignment="1">
      <alignment horizontal="center" vertical="center"/>
    </xf>
    <xf numFmtId="166" fontId="16" fillId="10" borderId="6" xfId="0" applyNumberFormat="1" applyFont="1" applyFill="1" applyBorder="1" applyAlignment="1">
      <alignment horizontal="center" vertical="center" wrapText="1"/>
    </xf>
    <xf numFmtId="166" fontId="51" fillId="10" borderId="6" xfId="0" applyNumberFormat="1" applyFont="1" applyFill="1" applyBorder="1" applyAlignment="1">
      <alignment horizontal="center" vertical="center" wrapText="1"/>
    </xf>
    <xf numFmtId="0" fontId="21" fillId="10" borderId="6" xfId="2" applyFont="1" applyFill="1" applyBorder="1" applyAlignment="1">
      <alignment horizontal="center" vertical="center" wrapText="1"/>
    </xf>
    <xf numFmtId="1" fontId="23" fillId="3" borderId="2" xfId="0" applyNumberFormat="1" applyFont="1" applyFill="1" applyBorder="1" applyAlignment="1">
      <alignment horizontal="center" vertical="center" wrapText="1"/>
    </xf>
    <xf numFmtId="0" fontId="23" fillId="3" borderId="2" xfId="0" applyNumberFormat="1" applyFont="1" applyFill="1" applyBorder="1" applyAlignment="1">
      <alignment horizontal="left" vertical="center" wrapText="1"/>
    </xf>
    <xf numFmtId="1" fontId="23" fillId="3" borderId="2" xfId="0" applyNumberFormat="1" applyFont="1" applyFill="1" applyBorder="1" applyAlignment="1">
      <alignment horizontal="left" vertical="center" wrapText="1"/>
    </xf>
    <xf numFmtId="166" fontId="23" fillId="3" borderId="2" xfId="0" applyNumberFormat="1" applyFont="1" applyFill="1" applyBorder="1" applyAlignment="1">
      <alignment horizontal="center" vertical="center" wrapText="1"/>
    </xf>
    <xf numFmtId="1" fontId="14" fillId="3" borderId="0" xfId="2" applyNumberFormat="1" applyFont="1" applyFill="1" applyAlignment="1">
      <alignment horizontal="center" vertical="center"/>
    </xf>
    <xf numFmtId="1" fontId="52" fillId="3" borderId="2" xfId="0" applyNumberFormat="1" applyFont="1" applyFill="1" applyBorder="1" applyAlignment="1">
      <alignment horizontal="center" vertical="center" wrapText="1"/>
    </xf>
    <xf numFmtId="49" fontId="49" fillId="3" borderId="2" xfId="2" applyNumberFormat="1" applyFont="1" applyFill="1" applyBorder="1" applyAlignment="1">
      <alignment vertical="center" wrapText="1" shrinkToFit="1"/>
    </xf>
    <xf numFmtId="0" fontId="52" fillId="3" borderId="2" xfId="0" applyNumberFormat="1" applyFont="1" applyFill="1" applyBorder="1" applyAlignment="1">
      <alignment horizontal="left" vertical="center" wrapText="1"/>
    </xf>
    <xf numFmtId="0" fontId="52" fillId="3" borderId="2" xfId="0" applyNumberFormat="1" applyFont="1" applyFill="1" applyBorder="1" applyAlignment="1">
      <alignment horizontal="center" vertical="center" wrapText="1"/>
    </xf>
    <xf numFmtId="1" fontId="49" fillId="3" borderId="2" xfId="2" applyNumberFormat="1" applyFont="1" applyFill="1" applyBorder="1" applyAlignment="1">
      <alignment horizontal="center" vertical="center"/>
    </xf>
    <xf numFmtId="1" fontId="52" fillId="3" borderId="2" xfId="0" applyNumberFormat="1" applyFont="1" applyFill="1" applyBorder="1" applyAlignment="1">
      <alignment horizontal="left" vertical="center" wrapText="1"/>
    </xf>
    <xf numFmtId="166" fontId="52" fillId="3" borderId="2" xfId="0" applyNumberFormat="1" applyFont="1" applyFill="1" applyBorder="1" applyAlignment="1">
      <alignment horizontal="center" vertical="center" wrapText="1"/>
    </xf>
    <xf numFmtId="1" fontId="53" fillId="3" borderId="0" xfId="2" applyNumberFormat="1" applyFont="1" applyFill="1" applyAlignment="1">
      <alignment horizontal="center" vertical="center"/>
    </xf>
    <xf numFmtId="166" fontId="11" fillId="2" borderId="2" xfId="1" applyNumberFormat="1" applyFont="1" applyFill="1" applyBorder="1" applyAlignment="1">
      <alignment horizontal="center" vertical="center"/>
    </xf>
    <xf numFmtId="1" fontId="21" fillId="2" borderId="19" xfId="0" applyNumberFormat="1" applyFont="1" applyFill="1" applyBorder="1" applyAlignment="1">
      <alignment horizontal="center" vertical="center" wrapText="1"/>
    </xf>
    <xf numFmtId="49" fontId="24" fillId="2" borderId="6" xfId="2" applyNumberFormat="1" applyFont="1" applyFill="1" applyBorder="1" applyAlignment="1">
      <alignment horizontal="center" vertical="center" wrapText="1"/>
    </xf>
    <xf numFmtId="1" fontId="15" fillId="11" borderId="12" xfId="0" applyNumberFormat="1" applyFont="1" applyFill="1" applyBorder="1" applyAlignment="1">
      <alignment horizontal="center" vertical="center" wrapText="1"/>
    </xf>
    <xf numFmtId="166" fontId="18" fillId="11" borderId="15" xfId="0" applyNumberFormat="1" applyFont="1" applyFill="1" applyBorder="1" applyAlignment="1">
      <alignment horizontal="center" vertical="center" wrapText="1"/>
    </xf>
    <xf numFmtId="0" fontId="18" fillId="11" borderId="15" xfId="0" applyNumberFormat="1" applyFont="1" applyFill="1" applyBorder="1" applyAlignment="1">
      <alignment horizontal="center" vertical="center" wrapText="1"/>
    </xf>
    <xf numFmtId="1" fontId="5" fillId="5" borderId="0" xfId="2" applyNumberFormat="1" applyFont="1" applyFill="1" applyAlignment="1">
      <alignment horizontal="center" vertical="center"/>
    </xf>
    <xf numFmtId="1" fontId="14" fillId="12" borderId="0" xfId="2" applyNumberFormat="1" applyFont="1" applyFill="1" applyAlignment="1">
      <alignment horizontal="center" vertical="center"/>
    </xf>
    <xf numFmtId="1" fontId="11" fillId="2" borderId="33" xfId="2" applyNumberFormat="1" applyFont="1" applyFill="1" applyBorder="1" applyAlignment="1">
      <alignment horizontal="center" vertical="center"/>
    </xf>
    <xf numFmtId="165" fontId="55" fillId="2" borderId="6" xfId="2" applyNumberFormat="1" applyFont="1" applyFill="1" applyBorder="1" applyAlignment="1">
      <alignment horizontal="center" vertical="center" wrapText="1"/>
    </xf>
    <xf numFmtId="0" fontId="56" fillId="2" borderId="0" xfId="2" applyFont="1" applyFill="1"/>
    <xf numFmtId="0" fontId="56" fillId="2" borderId="2" xfId="2" applyFont="1" applyFill="1" applyBorder="1" applyAlignment="1">
      <alignment horizontal="center" vertical="center"/>
    </xf>
    <xf numFmtId="2" fontId="54" fillId="0" borderId="2" xfId="2" applyNumberFormat="1" applyFont="1" applyFill="1" applyBorder="1" applyAlignment="1">
      <alignment horizontal="center" vertical="center" wrapText="1"/>
    </xf>
    <xf numFmtId="0" fontId="57" fillId="2" borderId="2" xfId="0" applyFont="1" applyFill="1" applyBorder="1" applyAlignment="1">
      <alignment horizontal="left" vertical="center" wrapText="1"/>
    </xf>
    <xf numFmtId="0" fontId="15" fillId="6" borderId="25" xfId="0" applyNumberFormat="1" applyFont="1" applyFill="1" applyBorder="1" applyAlignment="1">
      <alignment horizontal="left" vertical="center" wrapText="1"/>
    </xf>
    <xf numFmtId="1" fontId="57" fillId="2" borderId="3" xfId="0" applyNumberFormat="1" applyFont="1" applyFill="1" applyBorder="1" applyAlignment="1">
      <alignment horizontal="left" vertical="top" wrapText="1"/>
    </xf>
    <xf numFmtId="166" fontId="11" fillId="0" borderId="2" xfId="9" applyNumberFormat="1" applyFont="1" applyFill="1" applyBorder="1" applyAlignment="1">
      <alignment horizontal="center" vertical="center" wrapText="1"/>
    </xf>
    <xf numFmtId="166" fontId="11" fillId="0" borderId="2" xfId="7" applyNumberFormat="1" applyFont="1" applyFill="1" applyBorder="1" applyAlignment="1">
      <alignment horizontal="center" vertical="center" wrapText="1"/>
    </xf>
    <xf numFmtId="1" fontId="57" fillId="2" borderId="2" xfId="0" applyNumberFormat="1" applyFont="1" applyFill="1" applyBorder="1" applyAlignment="1">
      <alignment horizontal="left" vertical="top" wrapText="1"/>
    </xf>
    <xf numFmtId="1" fontId="14" fillId="2" borderId="1" xfId="2" applyNumberFormat="1" applyFont="1" applyFill="1" applyBorder="1" applyAlignment="1">
      <alignment horizontal="center" vertical="center"/>
    </xf>
    <xf numFmtId="2" fontId="15" fillId="11" borderId="34" xfId="0" applyNumberFormat="1" applyFont="1" applyFill="1" applyBorder="1" applyAlignment="1">
      <alignment horizontal="center" vertical="center" wrapText="1"/>
    </xf>
    <xf numFmtId="166" fontId="21" fillId="2" borderId="2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166" fontId="18" fillId="11" borderId="41" xfId="0" applyNumberFormat="1" applyFont="1" applyFill="1" applyBorder="1" applyAlignment="1">
      <alignment horizontal="center" vertical="center" wrapText="1"/>
    </xf>
    <xf numFmtId="3" fontId="16" fillId="5" borderId="42" xfId="0" applyNumberFormat="1" applyFont="1" applyFill="1" applyBorder="1" applyAlignment="1">
      <alignment horizontal="center" vertical="center" wrapText="1"/>
    </xf>
    <xf numFmtId="166" fontId="16" fillId="5" borderId="41" xfId="0" applyNumberFormat="1" applyFont="1" applyFill="1" applyBorder="1" applyAlignment="1">
      <alignment horizontal="center" vertical="center" wrapText="1"/>
    </xf>
    <xf numFmtId="0" fontId="16" fillId="5" borderId="41" xfId="0" applyNumberFormat="1" applyFont="1" applyFill="1" applyBorder="1" applyAlignment="1">
      <alignment horizontal="center" vertical="center" wrapText="1"/>
    </xf>
    <xf numFmtId="0" fontId="15" fillId="5" borderId="45" xfId="0" applyNumberFormat="1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1" fontId="21" fillId="2" borderId="3" xfId="0" applyNumberFormat="1" applyFont="1" applyFill="1" applyBorder="1" applyAlignment="1">
      <alignment horizontal="center" vertical="center" wrapText="1"/>
    </xf>
    <xf numFmtId="0" fontId="31" fillId="2" borderId="3" xfId="4" applyFont="1" applyFill="1" applyBorder="1" applyAlignment="1">
      <alignment horizontal="left" vertical="center" wrapText="1"/>
    </xf>
    <xf numFmtId="165" fontId="5" fillId="2" borderId="4" xfId="2" applyNumberFormat="1" applyFont="1" applyFill="1" applyBorder="1" applyAlignment="1">
      <alignment horizontal="center" vertical="center" wrapText="1"/>
    </xf>
    <xf numFmtId="2" fontId="5" fillId="2" borderId="3" xfId="2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/>
    </xf>
    <xf numFmtId="165" fontId="5" fillId="2" borderId="3" xfId="2" applyNumberFormat="1" applyFont="1" applyFill="1" applyBorder="1" applyAlignment="1">
      <alignment horizontal="center" vertical="center" wrapText="1"/>
    </xf>
    <xf numFmtId="166" fontId="42" fillId="2" borderId="3" xfId="0" applyNumberFormat="1" applyFont="1" applyFill="1" applyBorder="1" applyAlignment="1">
      <alignment horizontal="center" vertical="center" wrapText="1"/>
    </xf>
    <xf numFmtId="166" fontId="21" fillId="2" borderId="3" xfId="2" applyNumberFormat="1" applyFont="1" applyFill="1" applyBorder="1" applyAlignment="1">
      <alignment horizontal="center" vertical="center" wrapText="1"/>
    </xf>
    <xf numFmtId="0" fontId="5" fillId="2" borderId="3" xfId="2" applyFont="1" applyFill="1" applyBorder="1"/>
    <xf numFmtId="0" fontId="46" fillId="0" borderId="2" xfId="2" applyFont="1" applyFill="1" applyBorder="1"/>
    <xf numFmtId="1" fontId="58" fillId="2" borderId="0" xfId="2" applyNumberFormat="1" applyFont="1" applyFill="1"/>
    <xf numFmtId="0" fontId="58" fillId="2" borderId="0" xfId="2" applyFont="1" applyFill="1"/>
    <xf numFmtId="0" fontId="58" fillId="2" borderId="0" xfId="2" applyFont="1" applyFill="1" applyAlignment="1">
      <alignment horizontal="center" vertical="center"/>
    </xf>
    <xf numFmtId="0" fontId="58" fillId="0" borderId="0" xfId="2" applyFont="1"/>
    <xf numFmtId="166" fontId="16" fillId="13" borderId="15" xfId="0" applyNumberFormat="1" applyFont="1" applyFill="1" applyBorder="1" applyAlignment="1">
      <alignment horizontal="center" vertical="center" wrapText="1"/>
    </xf>
    <xf numFmtId="1" fontId="5" fillId="13" borderId="0" xfId="2" applyNumberFormat="1" applyFont="1" applyFill="1" applyAlignment="1">
      <alignment horizontal="center" vertical="center"/>
    </xf>
    <xf numFmtId="165" fontId="20" fillId="13" borderId="29" xfId="2" applyNumberFormat="1" applyFont="1" applyFill="1" applyBorder="1" applyAlignment="1">
      <alignment vertical="center"/>
    </xf>
    <xf numFmtId="165" fontId="20" fillId="13" borderId="0" xfId="2" applyNumberFormat="1" applyFont="1" applyFill="1" applyBorder="1" applyAlignment="1">
      <alignment vertical="center"/>
    </xf>
    <xf numFmtId="165" fontId="20" fillId="13" borderId="30" xfId="2" applyNumberFormat="1" applyFont="1" applyFill="1" applyBorder="1" applyAlignment="1">
      <alignment vertical="center"/>
    </xf>
    <xf numFmtId="1" fontId="16" fillId="13" borderId="5" xfId="2" applyNumberFormat="1" applyFont="1" applyFill="1" applyBorder="1" applyAlignment="1">
      <alignment horizontal="center" vertical="center"/>
    </xf>
    <xf numFmtId="0" fontId="16" fillId="13" borderId="5" xfId="2" applyFont="1" applyFill="1" applyBorder="1"/>
    <xf numFmtId="166" fontId="16" fillId="13" borderId="5" xfId="0" applyNumberFormat="1" applyFont="1" applyFill="1" applyBorder="1" applyAlignment="1">
      <alignment horizontal="center" vertical="center" wrapText="1"/>
    </xf>
    <xf numFmtId="166" fontId="16" fillId="13" borderId="29" xfId="0" applyNumberFormat="1" applyFont="1" applyFill="1" applyBorder="1" applyAlignment="1">
      <alignment horizontal="center" vertical="center" wrapText="1"/>
    </xf>
    <xf numFmtId="166" fontId="16" fillId="13" borderId="0" xfId="0" applyNumberFormat="1" applyFont="1" applyFill="1" applyBorder="1" applyAlignment="1">
      <alignment horizontal="center" vertical="center" wrapText="1"/>
    </xf>
    <xf numFmtId="166" fontId="16" fillId="13" borderId="30" xfId="0" applyNumberFormat="1" applyFont="1" applyFill="1" applyBorder="1" applyAlignment="1">
      <alignment horizontal="center" vertical="center" wrapText="1"/>
    </xf>
    <xf numFmtId="0" fontId="15" fillId="13" borderId="5" xfId="0" applyNumberFormat="1" applyFont="1" applyFill="1" applyBorder="1" applyAlignment="1">
      <alignment horizontal="center" vertical="center" wrapText="1"/>
    </xf>
    <xf numFmtId="1" fontId="14" fillId="13" borderId="0" xfId="2" applyNumberFormat="1" applyFont="1" applyFill="1" applyAlignment="1">
      <alignment horizontal="center" vertical="center"/>
    </xf>
    <xf numFmtId="165" fontId="20" fillId="13" borderId="32" xfId="2" applyNumberFormat="1" applyFont="1" applyFill="1" applyBorder="1" applyAlignment="1">
      <alignment vertical="center"/>
    </xf>
    <xf numFmtId="165" fontId="20" fillId="13" borderId="1" xfId="2" applyNumberFormat="1" applyFont="1" applyFill="1" applyBorder="1" applyAlignment="1">
      <alignment vertical="center"/>
    </xf>
    <xf numFmtId="165" fontId="20" fillId="13" borderId="31" xfId="2" applyNumberFormat="1" applyFont="1" applyFill="1" applyBorder="1" applyAlignment="1">
      <alignment vertical="center"/>
    </xf>
    <xf numFmtId="1" fontId="16" fillId="13" borderId="6" xfId="2" applyNumberFormat="1" applyFont="1" applyFill="1" applyBorder="1" applyAlignment="1">
      <alignment horizontal="center" vertical="center"/>
    </xf>
    <xf numFmtId="0" fontId="16" fillId="13" borderId="6" xfId="2" applyFont="1" applyFill="1" applyBorder="1"/>
    <xf numFmtId="166" fontId="16" fillId="13" borderId="6" xfId="0" applyNumberFormat="1" applyFont="1" applyFill="1" applyBorder="1" applyAlignment="1">
      <alignment horizontal="center" vertical="center" wrapText="1"/>
    </xf>
    <xf numFmtId="166" fontId="16" fillId="13" borderId="32" xfId="0" applyNumberFormat="1" applyFont="1" applyFill="1" applyBorder="1" applyAlignment="1">
      <alignment horizontal="center" vertical="center" wrapText="1"/>
    </xf>
    <xf numFmtId="166" fontId="16" fillId="13" borderId="1" xfId="0" applyNumberFormat="1" applyFont="1" applyFill="1" applyBorder="1" applyAlignment="1">
      <alignment horizontal="center" vertical="center" wrapText="1"/>
    </xf>
    <xf numFmtId="166" fontId="16" fillId="13" borderId="31" xfId="0" applyNumberFormat="1" applyFont="1" applyFill="1" applyBorder="1" applyAlignment="1">
      <alignment horizontal="center" vertical="center" wrapText="1"/>
    </xf>
    <xf numFmtId="0" fontId="15" fillId="13" borderId="6" xfId="0" applyNumberFormat="1" applyFont="1" applyFill="1" applyBorder="1" applyAlignment="1">
      <alignment horizontal="left" vertical="center" wrapText="1"/>
    </xf>
    <xf numFmtId="166" fontId="16" fillId="13" borderId="0" xfId="2" applyNumberFormat="1" applyFont="1" applyFill="1"/>
    <xf numFmtId="0" fontId="16" fillId="13" borderId="0" xfId="2" applyFont="1" applyFill="1"/>
    <xf numFmtId="3" fontId="16" fillId="13" borderId="7" xfId="0" applyNumberFormat="1" applyFont="1" applyFill="1" applyBorder="1" applyAlignment="1">
      <alignment horizontal="center" vertical="center" wrapText="1"/>
    </xf>
    <xf numFmtId="166" fontId="16" fillId="13" borderId="2" xfId="0" applyNumberFormat="1" applyFont="1" applyFill="1" applyBorder="1" applyAlignment="1">
      <alignment horizontal="center" vertical="center" wrapText="1"/>
    </xf>
    <xf numFmtId="166" fontId="15" fillId="13" borderId="35" xfId="0" applyNumberFormat="1" applyFont="1" applyFill="1" applyBorder="1" applyAlignment="1">
      <alignment horizontal="center" vertical="center" wrapText="1"/>
    </xf>
    <xf numFmtId="3" fontId="16" fillId="13" borderId="2" xfId="0" applyNumberFormat="1" applyFont="1" applyFill="1" applyBorder="1" applyAlignment="1">
      <alignment horizontal="center" vertical="center" wrapText="1"/>
    </xf>
    <xf numFmtId="0" fontId="15" fillId="13" borderId="31" xfId="0" applyNumberFormat="1" applyFont="1" applyFill="1" applyBorder="1" applyAlignment="1">
      <alignment horizontal="left" vertical="center" wrapText="1"/>
    </xf>
    <xf numFmtId="3" fontId="16" fillId="13" borderId="6" xfId="0" applyNumberFormat="1" applyFont="1" applyFill="1" applyBorder="1" applyAlignment="1">
      <alignment horizontal="center" vertical="center" wrapText="1"/>
    </xf>
    <xf numFmtId="0" fontId="47" fillId="13" borderId="0" xfId="2" applyFont="1" applyFill="1"/>
    <xf numFmtId="165" fontId="20" fillId="13" borderId="6" xfId="2" applyNumberFormat="1" applyFont="1" applyFill="1" applyBorder="1" applyAlignment="1">
      <alignment vertical="center"/>
    </xf>
    <xf numFmtId="0" fontId="16" fillId="13" borderId="2" xfId="0" applyNumberFormat="1" applyFont="1" applyFill="1" applyBorder="1" applyAlignment="1">
      <alignment horizontal="center" vertical="center" wrapText="1"/>
    </xf>
    <xf numFmtId="3" fontId="16" fillId="14" borderId="42" xfId="0" applyNumberFormat="1" applyFont="1" applyFill="1" applyBorder="1" applyAlignment="1">
      <alignment horizontal="center" vertical="center" wrapText="1"/>
    </xf>
    <xf numFmtId="166" fontId="16" fillId="14" borderId="41" xfId="0" applyNumberFormat="1" applyFont="1" applyFill="1" applyBorder="1" applyAlignment="1">
      <alignment horizontal="center" vertical="center" wrapText="1"/>
    </xf>
    <xf numFmtId="0" fontId="15" fillId="14" borderId="41" xfId="0" applyNumberFormat="1" applyFont="1" applyFill="1" applyBorder="1" applyAlignment="1">
      <alignment horizontal="center" vertical="center" wrapText="1"/>
    </xf>
    <xf numFmtId="166" fontId="15" fillId="14" borderId="45" xfId="0" applyNumberFormat="1" applyFont="1" applyFill="1" applyBorder="1" applyAlignment="1">
      <alignment horizontal="center" vertical="center" wrapText="1"/>
    </xf>
    <xf numFmtId="1" fontId="14" fillId="14" borderId="0" xfId="2" applyNumberFormat="1" applyFont="1" applyFill="1" applyAlignment="1">
      <alignment horizontal="center" vertical="center"/>
    </xf>
    <xf numFmtId="3" fontId="16" fillId="14" borderId="7" xfId="0" applyNumberFormat="1" applyFont="1" applyFill="1" applyBorder="1" applyAlignment="1">
      <alignment horizontal="center" vertical="center" wrapText="1"/>
    </xf>
    <xf numFmtId="166" fontId="16" fillId="14" borderId="2" xfId="0" applyNumberFormat="1" applyFont="1" applyFill="1" applyBorder="1" applyAlignment="1">
      <alignment horizontal="center" vertical="center" wrapText="1"/>
    </xf>
    <xf numFmtId="0" fontId="15" fillId="14" borderId="2" xfId="0" applyNumberFormat="1" applyFont="1" applyFill="1" applyBorder="1" applyAlignment="1">
      <alignment horizontal="center" vertical="center" wrapText="1"/>
    </xf>
    <xf numFmtId="166" fontId="15" fillId="14" borderId="35" xfId="0" applyNumberFormat="1" applyFont="1" applyFill="1" applyBorder="1" applyAlignment="1">
      <alignment horizontal="center" vertical="center" wrapText="1"/>
    </xf>
    <xf numFmtId="1" fontId="16" fillId="14" borderId="2" xfId="0" applyNumberFormat="1" applyFont="1" applyFill="1" applyBorder="1" applyAlignment="1">
      <alignment horizontal="center" vertical="center" wrapText="1"/>
    </xf>
    <xf numFmtId="165" fontId="18" fillId="14" borderId="2" xfId="0" applyNumberFormat="1" applyFont="1" applyFill="1" applyBorder="1" applyAlignment="1">
      <alignment horizontal="center" vertical="center" wrapText="1"/>
    </xf>
    <xf numFmtId="165" fontId="26" fillId="14" borderId="2" xfId="0" applyNumberFormat="1" applyFont="1" applyFill="1" applyBorder="1" applyAlignment="1">
      <alignment horizontal="center" vertical="center" wrapText="1"/>
    </xf>
    <xf numFmtId="165" fontId="26" fillId="14" borderId="3" xfId="0" applyNumberFormat="1" applyFont="1" applyFill="1" applyBorder="1" applyAlignment="1">
      <alignment horizontal="center" vertical="center" wrapText="1"/>
    </xf>
    <xf numFmtId="166" fontId="16" fillId="14" borderId="3" xfId="0" applyNumberFormat="1" applyFont="1" applyFill="1" applyBorder="1" applyAlignment="1">
      <alignment horizontal="center" vertical="center" wrapText="1"/>
    </xf>
    <xf numFmtId="0" fontId="15" fillId="14" borderId="2" xfId="0" applyNumberFormat="1" applyFont="1" applyFill="1" applyBorder="1" applyAlignment="1">
      <alignment horizontal="left" vertical="center" wrapText="1"/>
    </xf>
    <xf numFmtId="166" fontId="16" fillId="14" borderId="0" xfId="2" applyNumberFormat="1" applyFont="1" applyFill="1"/>
    <xf numFmtId="0" fontId="16" fillId="14" borderId="0" xfId="2" applyFont="1" applyFill="1"/>
    <xf numFmtId="166" fontId="28" fillId="14" borderId="3" xfId="0" applyNumberFormat="1" applyFont="1" applyFill="1" applyBorder="1" applyAlignment="1">
      <alignment horizontal="center" vertical="center" wrapText="1"/>
    </xf>
    <xf numFmtId="0" fontId="29" fillId="14" borderId="3" xfId="2" applyFont="1" applyFill="1" applyBorder="1"/>
    <xf numFmtId="0" fontId="29" fillId="14" borderId="0" xfId="2" applyFont="1" applyFill="1"/>
    <xf numFmtId="3" fontId="16" fillId="14" borderId="2" xfId="0" applyNumberFormat="1" applyFont="1" applyFill="1" applyBorder="1" applyAlignment="1">
      <alignment horizontal="center" vertical="center" wrapText="1"/>
    </xf>
    <xf numFmtId="0" fontId="13" fillId="14" borderId="0" xfId="2" applyFont="1" applyFill="1"/>
    <xf numFmtId="0" fontId="15" fillId="14" borderId="7" xfId="0" applyNumberFormat="1" applyFont="1" applyFill="1" applyBorder="1" applyAlignment="1">
      <alignment horizontal="left" vertical="center" wrapText="1"/>
    </xf>
    <xf numFmtId="166" fontId="21" fillId="13" borderId="2" xfId="0" applyNumberFormat="1" applyFont="1" applyFill="1" applyBorder="1" applyAlignment="1">
      <alignment horizontal="center" vertical="center" wrapText="1"/>
    </xf>
    <xf numFmtId="166" fontId="21" fillId="13" borderId="28" xfId="0" applyNumberFormat="1" applyFont="1" applyFill="1" applyBorder="1" applyAlignment="1">
      <alignment horizontal="center" vertical="center" wrapText="1"/>
    </xf>
    <xf numFmtId="166" fontId="16" fillId="6" borderId="15" xfId="0" applyNumberFormat="1" applyFont="1" applyFill="1" applyBorder="1" applyAlignment="1">
      <alignment horizontal="center" vertical="center" wrapText="1"/>
    </xf>
    <xf numFmtId="3" fontId="21" fillId="6" borderId="2" xfId="0" applyNumberFormat="1" applyFont="1" applyFill="1" applyBorder="1" applyAlignment="1">
      <alignment horizontal="center" vertical="center" wrapText="1"/>
    </xf>
    <xf numFmtId="166" fontId="21" fillId="6" borderId="2" xfId="0" applyNumberFormat="1" applyFont="1" applyFill="1" applyBorder="1" applyAlignment="1">
      <alignment horizontal="center" vertical="center" wrapText="1"/>
    </xf>
    <xf numFmtId="3" fontId="21" fillId="6" borderId="28" xfId="0" applyNumberFormat="1" applyFont="1" applyFill="1" applyBorder="1" applyAlignment="1">
      <alignment horizontal="center" vertical="center" wrapText="1"/>
    </xf>
    <xf numFmtId="166" fontId="21" fillId="6" borderId="39" xfId="0" applyNumberFormat="1" applyFont="1" applyFill="1" applyBorder="1" applyAlignment="1">
      <alignment horizontal="center" vertical="center" wrapText="1"/>
    </xf>
    <xf numFmtId="166" fontId="16" fillId="5" borderId="7" xfId="0" applyNumberFormat="1" applyFont="1" applyFill="1" applyBorder="1" applyAlignment="1">
      <alignment horizontal="center" vertical="center" wrapText="1"/>
    </xf>
    <xf numFmtId="166" fontId="16" fillId="13" borderId="31" xfId="0" applyNumberFormat="1" applyFont="1" applyFill="1" applyBorder="1" applyAlignment="1">
      <alignment horizontal="center" vertical="center" wrapText="1"/>
    </xf>
    <xf numFmtId="166" fontId="18" fillId="11" borderId="47" xfId="0" applyNumberFormat="1" applyFont="1" applyFill="1" applyBorder="1" applyAlignment="1">
      <alignment horizontal="center" vertical="center" wrapText="1"/>
    </xf>
    <xf numFmtId="166" fontId="16" fillId="6" borderId="6" xfId="0" applyNumberFormat="1" applyFont="1" applyFill="1" applyBorder="1" applyAlignment="1">
      <alignment horizontal="center" vertical="center" wrapText="1"/>
    </xf>
    <xf numFmtId="2" fontId="31" fillId="2" borderId="2" xfId="5" applyNumberFormat="1" applyFont="1" applyFill="1" applyBorder="1" applyAlignment="1">
      <alignment horizontal="center" vertical="center" wrapText="1"/>
    </xf>
    <xf numFmtId="4" fontId="31" fillId="2" borderId="2" xfId="5" applyNumberFormat="1" applyFont="1" applyFill="1" applyBorder="1" applyAlignment="1">
      <alignment horizontal="center" vertical="center" wrapText="1"/>
    </xf>
    <xf numFmtId="166" fontId="19" fillId="2" borderId="2" xfId="0" applyNumberFormat="1" applyFont="1" applyFill="1" applyBorder="1" applyAlignment="1">
      <alignment horizontal="center" vertical="center" wrapText="1"/>
    </xf>
    <xf numFmtId="1" fontId="15" fillId="4" borderId="31" xfId="0" applyNumberFormat="1" applyFont="1" applyFill="1" applyBorder="1" applyAlignment="1">
      <alignment horizontal="center" vertical="center" wrapText="1"/>
    </xf>
    <xf numFmtId="166" fontId="18" fillId="4" borderId="6" xfId="0" applyNumberFormat="1" applyFont="1" applyFill="1" applyBorder="1" applyAlignment="1">
      <alignment horizontal="center" vertical="center" wrapText="1"/>
    </xf>
    <xf numFmtId="166" fontId="19" fillId="4" borderId="6" xfId="0" applyNumberFormat="1" applyFont="1" applyFill="1" applyBorder="1" applyAlignment="1">
      <alignment horizontal="center" vertical="center" wrapText="1"/>
    </xf>
    <xf numFmtId="2" fontId="15" fillId="4" borderId="52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1" fontId="12" fillId="2" borderId="31" xfId="0" applyNumberFormat="1" applyFont="1" applyFill="1" applyBorder="1" applyAlignment="1">
      <alignment horizontal="left" vertical="center" wrapText="1"/>
    </xf>
    <xf numFmtId="1" fontId="12" fillId="2" borderId="32" xfId="0" applyNumberFormat="1" applyFont="1" applyFill="1" applyBorder="1" applyAlignment="1">
      <alignment horizontal="left" vertical="center" wrapText="1"/>
    </xf>
    <xf numFmtId="1" fontId="12" fillId="2" borderId="31" xfId="0" applyNumberFormat="1" applyFont="1" applyFill="1" applyBorder="1" applyAlignment="1">
      <alignment horizontal="center" vertical="center" wrapText="1"/>
    </xf>
    <xf numFmtId="166" fontId="12" fillId="2" borderId="6" xfId="0" applyNumberFormat="1" applyFont="1" applyFill="1" applyBorder="1" applyAlignment="1">
      <alignment horizontal="center" vertical="center" wrapText="1"/>
    </xf>
    <xf numFmtId="0" fontId="12" fillId="2" borderId="6" xfId="0" applyNumberFormat="1" applyFont="1" applyFill="1" applyBorder="1" applyAlignment="1">
      <alignment horizontal="left" vertical="center" wrapText="1"/>
    </xf>
    <xf numFmtId="0" fontId="12" fillId="2" borderId="6" xfId="0" applyNumberFormat="1" applyFont="1" applyFill="1" applyBorder="1" applyAlignment="1">
      <alignment horizontal="center" vertical="center" wrapText="1"/>
    </xf>
    <xf numFmtId="0" fontId="29" fillId="14" borderId="2" xfId="2" applyFont="1" applyFill="1" applyBorder="1"/>
    <xf numFmtId="49" fontId="31" fillId="0" borderId="5" xfId="2" applyNumberFormat="1" applyFont="1" applyFill="1" applyBorder="1" applyAlignment="1">
      <alignment horizontal="center" vertical="center" wrapText="1"/>
    </xf>
    <xf numFmtId="0" fontId="13" fillId="0" borderId="3" xfId="2" applyFont="1" applyFill="1" applyBorder="1"/>
    <xf numFmtId="1" fontId="31" fillId="0" borderId="3" xfId="5" applyNumberFormat="1" applyFont="1" applyFill="1" applyBorder="1" applyAlignment="1">
      <alignment horizontal="center" vertical="center" wrapText="1"/>
    </xf>
    <xf numFmtId="168" fontId="31" fillId="0" borderId="3" xfId="5" applyNumberFormat="1" applyFont="1" applyFill="1" applyBorder="1" applyAlignment="1">
      <alignment horizontal="center" vertical="center" wrapText="1"/>
    </xf>
    <xf numFmtId="166" fontId="21" fillId="0" borderId="5" xfId="0" applyNumberFormat="1" applyFont="1" applyFill="1" applyBorder="1" applyAlignment="1">
      <alignment horizontal="center" vertical="center" wrapText="1"/>
    </xf>
    <xf numFmtId="166" fontId="15" fillId="13" borderId="52" xfId="0" applyNumberFormat="1" applyFont="1" applyFill="1" applyBorder="1" applyAlignment="1">
      <alignment horizontal="center" vertical="center" wrapText="1"/>
    </xf>
    <xf numFmtId="1" fontId="15" fillId="4" borderId="6" xfId="0" applyNumberFormat="1" applyFont="1" applyFill="1" applyBorder="1" applyAlignment="1">
      <alignment horizontal="center" vertical="center" wrapText="1"/>
    </xf>
    <xf numFmtId="166" fontId="11" fillId="0" borderId="2" xfId="2" applyNumberFormat="1" applyFont="1" applyFill="1" applyBorder="1" applyAlignment="1">
      <alignment horizontal="center" vertical="center"/>
    </xf>
    <xf numFmtId="165" fontId="5" fillId="2" borderId="0" xfId="2" applyNumberFormat="1" applyFont="1" applyFill="1" applyAlignment="1">
      <alignment horizontal="center" vertical="center"/>
    </xf>
    <xf numFmtId="165" fontId="8" fillId="2" borderId="2" xfId="2" applyNumberFormat="1" applyFont="1" applyFill="1" applyBorder="1" applyAlignment="1">
      <alignment horizontal="left" vertical="center" wrapText="1"/>
    </xf>
    <xf numFmtId="2" fontId="8" fillId="0" borderId="2" xfId="2" applyNumberFormat="1" applyFont="1" applyFill="1" applyBorder="1" applyAlignment="1">
      <alignment horizontal="center" vertical="center"/>
    </xf>
    <xf numFmtId="166" fontId="61" fillId="0" borderId="2" xfId="2" applyNumberFormat="1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166" fontId="8" fillId="0" borderId="2" xfId="2" applyNumberFormat="1" applyFont="1" applyFill="1" applyBorder="1" applyAlignment="1">
      <alignment horizontal="center" vertical="center"/>
    </xf>
    <xf numFmtId="2" fontId="8" fillId="2" borderId="2" xfId="2" applyNumberFormat="1" applyFont="1" applyFill="1" applyBorder="1" applyAlignment="1">
      <alignment horizontal="left" vertical="center" wrapText="1"/>
    </xf>
    <xf numFmtId="0" fontId="62" fillId="0" borderId="0" xfId="0" applyFont="1"/>
    <xf numFmtId="166" fontId="7" fillId="0" borderId="2" xfId="2" applyNumberFormat="1" applyFont="1" applyFill="1" applyBorder="1" applyAlignment="1">
      <alignment horizontal="center" vertical="center"/>
    </xf>
    <xf numFmtId="0" fontId="62" fillId="0" borderId="0" xfId="0" applyFont="1" applyAlignment="1"/>
    <xf numFmtId="0" fontId="59" fillId="0" borderId="0" xfId="6" applyFont="1" applyBorder="1" applyAlignment="1"/>
    <xf numFmtId="0" fontId="4" fillId="3" borderId="0" xfId="2" applyFont="1" applyFill="1" applyAlignment="1">
      <alignment vertical="top" wrapText="1"/>
    </xf>
    <xf numFmtId="1" fontId="5" fillId="3" borderId="0" xfId="2" applyNumberFormat="1" applyFont="1" applyFill="1" applyAlignment="1">
      <alignment horizontal="center" vertical="center"/>
    </xf>
    <xf numFmtId="0" fontId="6" fillId="3" borderId="0" xfId="2" applyFont="1" applyFill="1" applyAlignment="1">
      <alignment horizontal="center" vertical="top" wrapText="1"/>
    </xf>
    <xf numFmtId="0" fontId="6" fillId="3" borderId="1" xfId="2" applyFont="1" applyFill="1" applyBorder="1" applyAlignment="1">
      <alignment horizontal="right" vertical="top" wrapText="1"/>
    </xf>
    <xf numFmtId="164" fontId="7" fillId="3" borderId="1" xfId="2" applyNumberFormat="1" applyFont="1" applyFill="1" applyBorder="1" applyAlignment="1">
      <alignment horizontal="left" vertical="top" wrapText="1"/>
    </xf>
    <xf numFmtId="1" fontId="11" fillId="3" borderId="3" xfId="2" applyNumberFormat="1" applyFont="1" applyFill="1" applyBorder="1" applyAlignment="1">
      <alignment horizontal="center" vertical="center"/>
    </xf>
    <xf numFmtId="165" fontId="16" fillId="10" borderId="2" xfId="2" applyNumberFormat="1" applyFont="1" applyFill="1" applyBorder="1" applyAlignment="1">
      <alignment horizontal="center" vertical="center"/>
    </xf>
    <xf numFmtId="166" fontId="38" fillId="10" borderId="2" xfId="0" applyNumberFormat="1" applyFont="1" applyFill="1" applyBorder="1" applyAlignment="1">
      <alignment horizontal="center" vertical="center" wrapText="1"/>
    </xf>
    <xf numFmtId="0" fontId="38" fillId="10" borderId="2" xfId="0" applyNumberFormat="1" applyFont="1" applyFill="1" applyBorder="1" applyAlignment="1">
      <alignment horizontal="center" vertical="center" wrapText="1"/>
    </xf>
    <xf numFmtId="2" fontId="12" fillId="10" borderId="2" xfId="0" applyNumberFormat="1" applyFont="1" applyFill="1" applyBorder="1" applyAlignment="1">
      <alignment horizontal="center" vertical="center" wrapText="1"/>
    </xf>
    <xf numFmtId="1" fontId="14" fillId="10" borderId="0" xfId="2" applyNumberFormat="1" applyFont="1" applyFill="1" applyAlignment="1">
      <alignment horizontal="center" vertical="center"/>
    </xf>
    <xf numFmtId="1" fontId="5" fillId="3" borderId="2" xfId="2" applyNumberFormat="1" applyFont="1" applyFill="1" applyBorder="1" applyAlignment="1">
      <alignment horizontal="center" vertical="center" wrapText="1"/>
    </xf>
    <xf numFmtId="0" fontId="12" fillId="3" borderId="3" xfId="0" applyNumberFormat="1" applyFont="1" applyFill="1" applyBorder="1" applyAlignment="1">
      <alignment horizontal="center" vertical="center" wrapText="1"/>
    </xf>
    <xf numFmtId="1" fontId="31" fillId="3" borderId="2" xfId="5" applyNumberFormat="1" applyFont="1" applyFill="1" applyBorder="1" applyAlignment="1">
      <alignment horizontal="left" vertical="center" wrapText="1"/>
    </xf>
    <xf numFmtId="167" fontId="31" fillId="3" borderId="2" xfId="0" applyNumberFormat="1" applyFont="1" applyFill="1" applyBorder="1" applyAlignment="1">
      <alignment horizontal="left" vertical="center" wrapText="1"/>
    </xf>
    <xf numFmtId="49" fontId="21" fillId="3" borderId="2" xfId="2" applyNumberFormat="1" applyFont="1" applyFill="1" applyBorder="1" applyAlignment="1">
      <alignment horizontal="center" vertical="center" wrapText="1"/>
    </xf>
    <xf numFmtId="1" fontId="11" fillId="3" borderId="2" xfId="2" applyNumberFormat="1" applyFont="1" applyFill="1" applyBorder="1" applyAlignment="1">
      <alignment horizontal="center" vertical="center"/>
    </xf>
    <xf numFmtId="1" fontId="14" fillId="3" borderId="2" xfId="2" applyNumberFormat="1" applyFont="1" applyFill="1" applyBorder="1" applyAlignment="1">
      <alignment horizontal="center" vertical="center"/>
    </xf>
    <xf numFmtId="166" fontId="48" fillId="3" borderId="2" xfId="0" applyNumberFormat="1" applyFont="1" applyFill="1" applyBorder="1" applyAlignment="1">
      <alignment horizontal="center" vertical="center" wrapText="1"/>
    </xf>
    <xf numFmtId="166" fontId="31" fillId="3" borderId="2" xfId="0" applyNumberFormat="1" applyFont="1" applyFill="1" applyBorder="1" applyAlignment="1">
      <alignment horizontal="center" vertical="center" wrapText="1"/>
    </xf>
    <xf numFmtId="166" fontId="11" fillId="3" borderId="2" xfId="0" applyNumberFormat="1" applyFont="1" applyFill="1" applyBorder="1" applyAlignment="1">
      <alignment horizontal="center" vertical="center" wrapText="1"/>
    </xf>
    <xf numFmtId="1" fontId="23" fillId="3" borderId="6" xfId="0" applyNumberFormat="1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left" vertical="center" wrapText="1"/>
    </xf>
    <xf numFmtId="1" fontId="5" fillId="3" borderId="5" xfId="2" applyNumberFormat="1" applyFont="1" applyFill="1" applyBorder="1" applyAlignment="1">
      <alignment horizontal="center" vertical="center" wrapText="1"/>
    </xf>
    <xf numFmtId="166" fontId="23" fillId="3" borderId="6" xfId="0" applyNumberFormat="1" applyFont="1" applyFill="1" applyBorder="1" applyAlignment="1">
      <alignment horizontal="center" vertical="center" wrapText="1"/>
    </xf>
    <xf numFmtId="166" fontId="11" fillId="3" borderId="6" xfId="0" applyNumberFormat="1" applyFont="1" applyFill="1" applyBorder="1" applyAlignment="1">
      <alignment horizontal="center" vertical="center" wrapText="1"/>
    </xf>
    <xf numFmtId="166" fontId="48" fillId="3" borderId="6" xfId="0" applyNumberFormat="1" applyFont="1" applyFill="1" applyBorder="1" applyAlignment="1">
      <alignment horizontal="center" vertical="center" wrapText="1"/>
    </xf>
    <xf numFmtId="1" fontId="5" fillId="3" borderId="3" xfId="2" applyNumberFormat="1" applyFont="1" applyFill="1" applyBorder="1" applyAlignment="1">
      <alignment horizontal="center" vertical="center" wrapText="1"/>
    </xf>
    <xf numFmtId="1" fontId="14" fillId="3" borderId="3" xfId="2" applyNumberFormat="1" applyFont="1" applyFill="1" applyBorder="1" applyAlignment="1">
      <alignment horizontal="center" vertical="center" wrapText="1"/>
    </xf>
    <xf numFmtId="49" fontId="11" fillId="3" borderId="2" xfId="2" applyNumberFormat="1" applyFont="1" applyFill="1" applyBorder="1" applyAlignment="1">
      <alignment horizontal="center" vertical="center" wrapText="1"/>
    </xf>
    <xf numFmtId="1" fontId="14" fillId="3" borderId="3" xfId="2" applyNumberFormat="1" applyFont="1" applyFill="1" applyBorder="1" applyAlignment="1">
      <alignment horizontal="center" vertical="center"/>
    </xf>
    <xf numFmtId="166" fontId="48" fillId="3" borderId="3" xfId="0" applyNumberFormat="1" applyFont="1" applyFill="1" applyBorder="1" applyAlignment="1">
      <alignment horizontal="center" vertical="center" wrapText="1"/>
    </xf>
    <xf numFmtId="166" fontId="31" fillId="3" borderId="3" xfId="0" applyNumberFormat="1" applyFont="1" applyFill="1" applyBorder="1" applyAlignment="1">
      <alignment horizontal="center" vertical="center" wrapText="1"/>
    </xf>
    <xf numFmtId="167" fontId="44" fillId="3" borderId="2" xfId="0" applyNumberFormat="1" applyFont="1" applyFill="1" applyBorder="1" applyAlignment="1">
      <alignment horizontal="left" vertical="center" wrapText="1"/>
    </xf>
    <xf numFmtId="0" fontId="13" fillId="3" borderId="0" xfId="2" applyFont="1" applyFill="1"/>
    <xf numFmtId="49" fontId="31" fillId="0" borderId="6" xfId="5" applyNumberFormat="1" applyFont="1" applyFill="1" applyBorder="1" applyAlignment="1">
      <alignment horizontal="left" vertical="center" wrapText="1"/>
    </xf>
    <xf numFmtId="165" fontId="31" fillId="10" borderId="6" xfId="5" applyNumberFormat="1" applyFont="1" applyFill="1" applyBorder="1" applyAlignment="1">
      <alignment horizontal="center" vertical="center" wrapText="1"/>
    </xf>
    <xf numFmtId="168" fontId="31" fillId="0" borderId="6" xfId="6" applyNumberFormat="1" applyFont="1" applyFill="1" applyBorder="1" applyAlignment="1">
      <alignment horizontal="center" vertical="center" wrapText="1"/>
    </xf>
    <xf numFmtId="165" fontId="31" fillId="10" borderId="2" xfId="5" applyNumberFormat="1" applyFont="1" applyFill="1" applyBorder="1" applyAlignment="1">
      <alignment horizontal="center" vertical="center" wrapText="1"/>
    </xf>
    <xf numFmtId="172" fontId="31" fillId="10" borderId="2" xfId="5" applyNumberFormat="1" applyFont="1" applyFill="1" applyBorder="1" applyAlignment="1">
      <alignment horizontal="center" vertical="center" wrapText="1"/>
    </xf>
    <xf numFmtId="173" fontId="31" fillId="10" borderId="2" xfId="5" applyNumberFormat="1" applyFont="1" applyFill="1" applyBorder="1" applyAlignment="1">
      <alignment horizontal="center" vertical="center" wrapText="1"/>
    </xf>
    <xf numFmtId="0" fontId="31" fillId="10" borderId="2" xfId="5" applyFont="1" applyFill="1" applyBorder="1" applyAlignment="1">
      <alignment horizontal="center" vertical="center" wrapText="1"/>
    </xf>
    <xf numFmtId="1" fontId="47" fillId="3" borderId="0" xfId="2" applyNumberFormat="1" applyFont="1" applyFill="1"/>
    <xf numFmtId="0" fontId="47" fillId="3" borderId="0" xfId="2" applyFont="1" applyFill="1"/>
    <xf numFmtId="0" fontId="47" fillId="3" borderId="0" xfId="2" applyFont="1" applyFill="1" applyAlignment="1">
      <alignment horizontal="center" vertical="center"/>
    </xf>
    <xf numFmtId="1" fontId="34" fillId="3" borderId="0" xfId="2" applyNumberFormat="1" applyFont="1" applyFill="1"/>
    <xf numFmtId="0" fontId="34" fillId="3" borderId="0" xfId="2" applyFont="1" applyFill="1"/>
    <xf numFmtId="0" fontId="34" fillId="0" borderId="0" xfId="2" applyFont="1"/>
    <xf numFmtId="0" fontId="34" fillId="3" borderId="0" xfId="2" applyFont="1" applyFill="1" applyAlignment="1">
      <alignment horizontal="center" vertical="center"/>
    </xf>
    <xf numFmtId="1" fontId="23" fillId="5" borderId="2" xfId="0" applyNumberFormat="1" applyFont="1" applyFill="1" applyBorder="1" applyAlignment="1">
      <alignment horizontal="center" vertical="center" wrapText="1"/>
    </xf>
    <xf numFmtId="1" fontId="11" fillId="5" borderId="2" xfId="2" applyNumberFormat="1" applyFont="1" applyFill="1" applyBorder="1" applyAlignment="1">
      <alignment horizontal="center" vertical="center"/>
    </xf>
    <xf numFmtId="1" fontId="14" fillId="5" borderId="2" xfId="2" applyNumberFormat="1" applyFont="1" applyFill="1" applyBorder="1" applyAlignment="1">
      <alignment horizontal="center" vertical="center" wrapText="1"/>
    </xf>
    <xf numFmtId="166" fontId="11" fillId="5" borderId="2" xfId="0" applyNumberFormat="1" applyFont="1" applyFill="1" applyBorder="1" applyAlignment="1">
      <alignment horizontal="center" vertical="center" wrapText="1"/>
    </xf>
    <xf numFmtId="1" fontId="14" fillId="5" borderId="0" xfId="2" applyNumberFormat="1" applyFont="1" applyFill="1" applyAlignment="1">
      <alignment horizontal="center" vertical="center"/>
    </xf>
    <xf numFmtId="1" fontId="14" fillId="5" borderId="2" xfId="2" applyNumberFormat="1" applyFont="1" applyFill="1" applyBorder="1" applyAlignment="1">
      <alignment horizontal="center" vertical="center"/>
    </xf>
    <xf numFmtId="166" fontId="48" fillId="5" borderId="2" xfId="0" applyNumberFormat="1" applyFont="1" applyFill="1" applyBorder="1" applyAlignment="1">
      <alignment horizontal="center" vertical="center" wrapText="1"/>
    </xf>
    <xf numFmtId="166" fontId="31" fillId="5" borderId="2" xfId="0" applyNumberFormat="1" applyFont="1" applyFill="1" applyBorder="1" applyAlignment="1">
      <alignment horizontal="center" vertical="center" wrapText="1"/>
    </xf>
    <xf numFmtId="49" fontId="11" fillId="5" borderId="2" xfId="2" applyNumberFormat="1" applyFont="1" applyFill="1" applyBorder="1" applyAlignment="1">
      <alignment horizontal="center" vertical="center" wrapText="1"/>
    </xf>
    <xf numFmtId="167" fontId="44" fillId="5" borderId="2" xfId="0" applyNumberFormat="1" applyFont="1" applyFill="1" applyBorder="1" applyAlignment="1">
      <alignment horizontal="left" vertical="center" wrapText="1"/>
    </xf>
    <xf numFmtId="1" fontId="11" fillId="15" borderId="2" xfId="2" applyNumberFormat="1" applyFont="1" applyFill="1" applyBorder="1" applyAlignment="1">
      <alignment horizontal="center" vertical="center"/>
    </xf>
    <xf numFmtId="1" fontId="31" fillId="15" borderId="2" xfId="5" applyNumberFormat="1" applyFont="1" applyFill="1" applyBorder="1" applyAlignment="1">
      <alignment horizontal="left" vertical="center" wrapText="1"/>
    </xf>
    <xf numFmtId="0" fontId="19" fillId="15" borderId="2" xfId="2" applyFont="1" applyFill="1" applyBorder="1" applyAlignment="1">
      <alignment horizontal="center" vertical="center" wrapText="1"/>
    </xf>
    <xf numFmtId="49" fontId="19" fillId="15" borderId="6" xfId="2" applyNumberFormat="1" applyFont="1" applyFill="1" applyBorder="1" applyAlignment="1">
      <alignment horizontal="center" vertical="center" wrapText="1"/>
    </xf>
    <xf numFmtId="1" fontId="5" fillId="15" borderId="2" xfId="2" applyNumberFormat="1" applyFont="1" applyFill="1" applyBorder="1" applyAlignment="1">
      <alignment horizontal="center" vertical="center"/>
    </xf>
    <xf numFmtId="1" fontId="21" fillId="15" borderId="2" xfId="2" applyNumberFormat="1" applyFont="1" applyFill="1" applyBorder="1" applyAlignment="1">
      <alignment horizontal="center" vertical="center"/>
    </xf>
    <xf numFmtId="1" fontId="5" fillId="15" borderId="2" xfId="2" applyNumberFormat="1" applyFont="1" applyFill="1" applyBorder="1" applyAlignment="1">
      <alignment horizontal="center" vertical="center" wrapText="1"/>
    </xf>
    <xf numFmtId="169" fontId="31" fillId="15" borderId="2" xfId="5" applyNumberFormat="1" applyFont="1" applyFill="1" applyBorder="1" applyAlignment="1">
      <alignment horizontal="center" vertical="center" wrapText="1"/>
    </xf>
    <xf numFmtId="166" fontId="5" fillId="15" borderId="2" xfId="2" applyNumberFormat="1" applyFont="1" applyFill="1" applyBorder="1" applyAlignment="1">
      <alignment horizontal="center" vertical="center"/>
    </xf>
    <xf numFmtId="166" fontId="21" fillId="15" borderId="2" xfId="0" applyNumberFormat="1" applyFont="1" applyFill="1" applyBorder="1" applyAlignment="1">
      <alignment horizontal="center" vertical="center" wrapText="1"/>
    </xf>
    <xf numFmtId="166" fontId="21" fillId="15" borderId="6" xfId="0" applyNumberFormat="1" applyFont="1" applyFill="1" applyBorder="1" applyAlignment="1">
      <alignment horizontal="center" vertical="center" wrapText="1"/>
    </xf>
    <xf numFmtId="165" fontId="21" fillId="15" borderId="2" xfId="2" applyNumberFormat="1" applyFont="1" applyFill="1" applyBorder="1" applyAlignment="1">
      <alignment horizontal="center" vertical="center" wrapText="1"/>
    </xf>
    <xf numFmtId="0" fontId="19" fillId="15" borderId="6" xfId="2" applyFont="1" applyFill="1" applyBorder="1" applyAlignment="1">
      <alignment horizontal="center" vertical="center" wrapText="1"/>
    </xf>
    <xf numFmtId="1" fontId="5" fillId="15" borderId="6" xfId="2" applyNumberFormat="1" applyFont="1" applyFill="1" applyBorder="1" applyAlignment="1">
      <alignment horizontal="center" vertical="center"/>
    </xf>
    <xf numFmtId="1" fontId="21" fillId="15" borderId="6" xfId="2" applyNumberFormat="1" applyFont="1" applyFill="1" applyBorder="1" applyAlignment="1">
      <alignment horizontal="center" vertical="center"/>
    </xf>
    <xf numFmtId="1" fontId="5" fillId="15" borderId="6" xfId="2" applyNumberFormat="1" applyFont="1" applyFill="1" applyBorder="1" applyAlignment="1">
      <alignment horizontal="center" vertical="center" wrapText="1"/>
    </xf>
    <xf numFmtId="166" fontId="5" fillId="15" borderId="6" xfId="2" applyNumberFormat="1" applyFont="1" applyFill="1" applyBorder="1" applyAlignment="1">
      <alignment horizontal="center" vertical="center"/>
    </xf>
    <xf numFmtId="165" fontId="21" fillId="15" borderId="6" xfId="2" applyNumberFormat="1" applyFont="1" applyFill="1" applyBorder="1" applyAlignment="1">
      <alignment horizontal="center" vertical="center" wrapText="1"/>
    </xf>
    <xf numFmtId="49" fontId="31" fillId="15" borderId="2" xfId="6" applyNumberFormat="1" applyFont="1" applyFill="1" applyBorder="1" applyAlignment="1">
      <alignment vertical="center" wrapText="1"/>
    </xf>
    <xf numFmtId="0" fontId="31" fillId="15" borderId="2" xfId="2" applyFont="1" applyFill="1" applyBorder="1" applyAlignment="1">
      <alignment horizontal="center" vertical="center" wrapText="1"/>
    </xf>
    <xf numFmtId="49" fontId="31" fillId="15" borderId="6" xfId="2" applyNumberFormat="1" applyFont="1" applyFill="1" applyBorder="1" applyAlignment="1">
      <alignment horizontal="center" vertical="center" wrapText="1"/>
    </xf>
    <xf numFmtId="1" fontId="14" fillId="15" borderId="2" xfId="2" applyNumberFormat="1" applyFont="1" applyFill="1" applyBorder="1" applyAlignment="1">
      <alignment horizontal="center" vertical="center"/>
    </xf>
    <xf numFmtId="1" fontId="14" fillId="15" borderId="2" xfId="2" applyNumberFormat="1" applyFont="1" applyFill="1" applyBorder="1" applyAlignment="1">
      <alignment horizontal="center" vertical="center" wrapText="1"/>
    </xf>
    <xf numFmtId="169" fontId="11" fillId="15" borderId="2" xfId="7" applyNumberFormat="1" applyFont="1" applyFill="1" applyBorder="1" applyAlignment="1">
      <alignment horizontal="center" vertical="center" wrapText="1"/>
    </xf>
    <xf numFmtId="168" fontId="31" fillId="15" borderId="2" xfId="7" applyNumberFormat="1" applyFont="1" applyFill="1" applyBorder="1" applyAlignment="1">
      <alignment horizontal="center" vertical="center" wrapText="1"/>
    </xf>
    <xf numFmtId="168" fontId="31" fillId="15" borderId="2" xfId="5" applyNumberFormat="1" applyFont="1" applyFill="1" applyBorder="1" applyAlignment="1">
      <alignment horizontal="center" vertical="center" wrapText="1"/>
    </xf>
    <xf numFmtId="166" fontId="11" fillId="15" borderId="2" xfId="0" applyNumberFormat="1" applyFont="1" applyFill="1" applyBorder="1" applyAlignment="1">
      <alignment horizontal="center" vertical="center" wrapText="1"/>
    </xf>
    <xf numFmtId="165" fontId="11" fillId="15" borderId="2" xfId="2" applyNumberFormat="1" applyFont="1" applyFill="1" applyBorder="1" applyAlignment="1">
      <alignment horizontal="center" vertical="center" wrapText="1"/>
    </xf>
    <xf numFmtId="49" fontId="31" fillId="15" borderId="2" xfId="5" applyNumberFormat="1" applyFont="1" applyFill="1" applyBorder="1" applyAlignment="1">
      <alignment horizontal="left" vertical="center" wrapText="1"/>
    </xf>
    <xf numFmtId="166" fontId="14" fillId="15" borderId="2" xfId="2" applyNumberFormat="1" applyFont="1" applyFill="1" applyBorder="1" applyAlignment="1">
      <alignment horizontal="center" vertical="center"/>
    </xf>
    <xf numFmtId="0" fontId="13" fillId="15" borderId="2" xfId="2" applyFont="1" applyFill="1" applyBorder="1"/>
    <xf numFmtId="0" fontId="31" fillId="15" borderId="2" xfId="0" applyFont="1" applyFill="1" applyBorder="1" applyAlignment="1">
      <alignment horizontal="left" vertical="center" wrapText="1"/>
    </xf>
    <xf numFmtId="0" fontId="31" fillId="15" borderId="2" xfId="5" applyFont="1" applyFill="1" applyBorder="1" applyAlignment="1">
      <alignment horizontal="left" vertical="center" wrapText="1"/>
    </xf>
    <xf numFmtId="2" fontId="21" fillId="15" borderId="2" xfId="2" applyNumberFormat="1" applyFont="1" applyFill="1" applyBorder="1" applyAlignment="1">
      <alignment horizontal="left" vertical="center" wrapText="1"/>
    </xf>
    <xf numFmtId="2" fontId="19" fillId="15" borderId="2" xfId="2" applyNumberFormat="1" applyFont="1" applyFill="1" applyBorder="1" applyAlignment="1">
      <alignment horizontal="center" vertical="center" wrapText="1"/>
    </xf>
    <xf numFmtId="1" fontId="19" fillId="15" borderId="2" xfId="2" applyNumberFormat="1" applyFont="1" applyFill="1" applyBorder="1" applyAlignment="1">
      <alignment horizontal="center" vertical="center" wrapText="1"/>
    </xf>
    <xf numFmtId="2" fontId="5" fillId="15" borderId="2" xfId="2" applyNumberFormat="1" applyFont="1" applyFill="1" applyBorder="1" applyAlignment="1">
      <alignment horizontal="center" vertical="center"/>
    </xf>
    <xf numFmtId="49" fontId="5" fillId="15" borderId="2" xfId="2" applyNumberFormat="1" applyFont="1" applyFill="1" applyBorder="1" applyAlignment="1">
      <alignment horizontal="center" vertical="center" wrapText="1"/>
    </xf>
    <xf numFmtId="2" fontId="11" fillId="15" borderId="2" xfId="2" applyNumberFormat="1" applyFont="1" applyFill="1" applyBorder="1" applyAlignment="1">
      <alignment horizontal="center" vertical="center"/>
    </xf>
    <xf numFmtId="166" fontId="8" fillId="15" borderId="2" xfId="2" applyNumberFormat="1" applyFont="1" applyFill="1" applyBorder="1" applyAlignment="1">
      <alignment horizontal="center" vertical="center"/>
    </xf>
    <xf numFmtId="2" fontId="11" fillId="15" borderId="2" xfId="2" applyNumberFormat="1" applyFont="1" applyFill="1" applyBorder="1" applyAlignment="1">
      <alignment horizontal="center" vertical="center" wrapText="1"/>
    </xf>
    <xf numFmtId="0" fontId="31" fillId="0" borderId="6" xfId="5" applyFont="1" applyFill="1" applyBorder="1" applyAlignment="1">
      <alignment horizontal="left" vertical="center" wrapText="1"/>
    </xf>
    <xf numFmtId="165" fontId="31" fillId="0" borderId="6" xfId="5" applyNumberFormat="1" applyFont="1" applyFill="1" applyBorder="1" applyAlignment="1">
      <alignment horizontal="center" vertical="center" wrapText="1"/>
    </xf>
    <xf numFmtId="168" fontId="31" fillId="0" borderId="6" xfId="5" applyNumberFormat="1" applyFont="1" applyFill="1" applyBorder="1" applyAlignment="1">
      <alignment horizontal="center" vertical="center" wrapText="1"/>
    </xf>
    <xf numFmtId="2" fontId="31" fillId="0" borderId="6" xfId="5" applyNumberFormat="1" applyFont="1" applyFill="1" applyBorder="1" applyAlignment="1">
      <alignment horizontal="center" vertical="center" wrapText="1"/>
    </xf>
    <xf numFmtId="166" fontId="12" fillId="5" borderId="2" xfId="0" applyNumberFormat="1" applyFont="1" applyFill="1" applyBorder="1" applyAlignment="1">
      <alignment horizontal="center" vertical="center" wrapText="1"/>
    </xf>
    <xf numFmtId="0" fontId="12" fillId="5" borderId="2" xfId="0" applyNumberFormat="1" applyFont="1" applyFill="1" applyBorder="1" applyAlignment="1">
      <alignment horizontal="center" vertical="center" wrapText="1"/>
    </xf>
    <xf numFmtId="1" fontId="14" fillId="5" borderId="20" xfId="2" applyNumberFormat="1" applyFont="1" applyFill="1" applyBorder="1" applyAlignment="1">
      <alignment horizontal="center" vertical="center"/>
    </xf>
    <xf numFmtId="165" fontId="14" fillId="0" borderId="2" xfId="2" applyNumberFormat="1" applyFont="1" applyFill="1" applyBorder="1" applyAlignment="1">
      <alignment horizontal="center" vertical="center" wrapText="1"/>
    </xf>
    <xf numFmtId="165" fontId="14" fillId="0" borderId="6" xfId="2" applyNumberFormat="1" applyFont="1" applyFill="1" applyBorder="1" applyAlignment="1">
      <alignment horizontal="center" vertical="center" wrapText="1"/>
    </xf>
    <xf numFmtId="1" fontId="23" fillId="0" borderId="2" xfId="0" applyNumberFormat="1" applyFont="1" applyFill="1" applyBorder="1" applyAlignment="1">
      <alignment horizontal="center" vertical="center" wrapText="1"/>
    </xf>
    <xf numFmtId="166" fontId="31" fillId="0" borderId="2" xfId="0" applyNumberFormat="1" applyFont="1" applyFill="1" applyBorder="1" applyAlignment="1">
      <alignment horizontal="center" vertical="center" wrapText="1"/>
    </xf>
    <xf numFmtId="2" fontId="23" fillId="0" borderId="3" xfId="0" applyNumberFormat="1" applyFont="1" applyFill="1" applyBorder="1" applyAlignment="1">
      <alignment horizontal="center" vertical="center" wrapText="1"/>
    </xf>
    <xf numFmtId="165" fontId="14" fillId="0" borderId="2" xfId="2" applyNumberFormat="1" applyFont="1" applyFill="1" applyBorder="1" applyAlignment="1">
      <alignment horizontal="left" vertical="center" wrapText="1"/>
    </xf>
    <xf numFmtId="4" fontId="31" fillId="0" borderId="2" xfId="0" applyNumberFormat="1" applyFont="1" applyFill="1" applyBorder="1" applyAlignment="1">
      <alignment horizontal="center" vertical="center" wrapText="1"/>
    </xf>
    <xf numFmtId="166" fontId="11" fillId="2" borderId="2" xfId="0" applyNumberFormat="1" applyFont="1" applyFill="1" applyBorder="1" applyAlignment="1">
      <alignment horizontal="center" vertical="center" wrapText="1"/>
    </xf>
    <xf numFmtId="1" fontId="11" fillId="0" borderId="0" xfId="2" applyNumberFormat="1" applyFont="1" applyFill="1" applyBorder="1" applyAlignment="1">
      <alignment horizontal="center" vertical="center"/>
    </xf>
    <xf numFmtId="1" fontId="31" fillId="0" borderId="0" xfId="5" applyNumberFormat="1" applyFont="1" applyFill="1" applyBorder="1" applyAlignment="1">
      <alignment horizontal="left" vertical="center" wrapText="1"/>
    </xf>
    <xf numFmtId="49" fontId="19" fillId="0" borderId="0" xfId="2" applyNumberFormat="1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center" vertical="center" wrapText="1"/>
    </xf>
    <xf numFmtId="1" fontId="21" fillId="0" borderId="0" xfId="2" applyNumberFormat="1" applyFont="1" applyFill="1" applyBorder="1" applyAlignment="1">
      <alignment horizontal="center" vertical="center"/>
    </xf>
    <xf numFmtId="1" fontId="5" fillId="0" borderId="0" xfId="2" applyNumberFormat="1" applyFont="1" applyFill="1" applyBorder="1" applyAlignment="1">
      <alignment horizontal="center" vertical="center" wrapText="1"/>
    </xf>
    <xf numFmtId="166" fontId="5" fillId="0" borderId="0" xfId="2" applyNumberFormat="1" applyFont="1" applyFill="1" applyBorder="1" applyAlignment="1">
      <alignment horizontal="center" vertical="center"/>
    </xf>
    <xf numFmtId="0" fontId="13" fillId="0" borderId="0" xfId="2" applyFont="1" applyFill="1" applyBorder="1"/>
    <xf numFmtId="166" fontId="21" fillId="0" borderId="0" xfId="0" applyNumberFormat="1" applyFont="1" applyFill="1" applyBorder="1" applyAlignment="1">
      <alignment horizontal="center" vertical="center" wrapText="1"/>
    </xf>
    <xf numFmtId="168" fontId="31" fillId="0" borderId="0" xfId="5" applyNumberFormat="1" applyFont="1" applyFill="1" applyBorder="1" applyAlignment="1">
      <alignment horizontal="center" vertical="center" wrapText="1"/>
    </xf>
    <xf numFmtId="165" fontId="21" fillId="0" borderId="0" xfId="2" applyNumberFormat="1" applyFont="1" applyFill="1" applyBorder="1" applyAlignment="1">
      <alignment horizontal="center" vertical="center" wrapText="1"/>
    </xf>
    <xf numFmtId="174" fontId="31" fillId="0" borderId="0" xfId="5" applyNumberFormat="1" applyFont="1" applyFill="1" applyBorder="1" applyAlignment="1">
      <alignment horizontal="center" vertical="center" wrapText="1"/>
    </xf>
    <xf numFmtId="0" fontId="58" fillId="0" borderId="0" xfId="6" applyFont="1" applyFill="1" applyAlignment="1">
      <alignment horizontal="center" vertical="center"/>
    </xf>
    <xf numFmtId="0" fontId="58" fillId="0" borderId="0" xfId="6" applyFont="1" applyFill="1" applyAlignment="1">
      <alignment vertical="center"/>
    </xf>
    <xf numFmtId="2" fontId="58" fillId="0" borderId="0" xfId="6" applyNumberFormat="1" applyFont="1" applyFill="1" applyAlignment="1">
      <alignment horizontal="center" vertical="center"/>
    </xf>
    <xf numFmtId="3" fontId="58" fillId="0" borderId="0" xfId="6" applyNumberFormat="1" applyFont="1" applyFill="1" applyAlignment="1">
      <alignment vertical="center"/>
    </xf>
    <xf numFmtId="0" fontId="58" fillId="0" borderId="0" xfId="6" applyFont="1" applyFill="1" applyBorder="1"/>
    <xf numFmtId="49" fontId="58" fillId="0" borderId="0" xfId="6" applyNumberFormat="1" applyFont="1" applyFill="1" applyBorder="1"/>
    <xf numFmtId="0" fontId="58" fillId="0" borderId="0" xfId="6" applyFont="1" applyFill="1"/>
    <xf numFmtId="0" fontId="65" fillId="0" borderId="0" xfId="6" applyFont="1" applyFill="1" applyBorder="1"/>
    <xf numFmtId="0" fontId="20" fillId="0" borderId="0" xfId="6" applyFont="1" applyFill="1" applyBorder="1"/>
    <xf numFmtId="0" fontId="20" fillId="0" borderId="0" xfId="6" applyFont="1" applyFill="1"/>
    <xf numFmtId="0" fontId="20" fillId="0" borderId="0" xfId="6" applyFont="1" applyFill="1" applyBorder="1" applyAlignment="1">
      <alignment horizontal="right"/>
    </xf>
    <xf numFmtId="2" fontId="58" fillId="0" borderId="0" xfId="6" applyNumberFormat="1" applyFont="1" applyFill="1"/>
    <xf numFmtId="0" fontId="67" fillId="0" borderId="0" xfId="6" applyFont="1" applyFill="1" applyBorder="1" applyAlignment="1">
      <alignment horizontal="center" vertical="center"/>
    </xf>
    <xf numFmtId="2" fontId="67" fillId="0" borderId="0" xfId="6" applyNumberFormat="1" applyFont="1" applyFill="1" applyBorder="1" applyAlignment="1">
      <alignment horizontal="center" vertical="center"/>
    </xf>
    <xf numFmtId="166" fontId="68" fillId="0" borderId="0" xfId="6" applyNumberFormat="1" applyFont="1" applyFill="1" applyBorder="1" applyAlignment="1">
      <alignment horizontal="center" vertical="center"/>
    </xf>
    <xf numFmtId="1" fontId="58" fillId="0" borderId="0" xfId="6" applyNumberFormat="1" applyFont="1" applyFill="1" applyAlignment="1">
      <alignment horizontal="center" vertical="center"/>
    </xf>
    <xf numFmtId="0" fontId="58" fillId="0" borderId="2" xfId="6" applyFont="1" applyFill="1" applyBorder="1" applyAlignment="1">
      <alignment horizontal="center" vertical="center"/>
    </xf>
    <xf numFmtId="166" fontId="58" fillId="0" borderId="0" xfId="6" applyNumberFormat="1" applyFont="1" applyFill="1"/>
    <xf numFmtId="0" fontId="69" fillId="0" borderId="0" xfId="6" applyFont="1" applyFill="1"/>
    <xf numFmtId="0" fontId="69" fillId="0" borderId="0" xfId="6" applyFont="1" applyFill="1" applyBorder="1"/>
    <xf numFmtId="0" fontId="17" fillId="0" borderId="0" xfId="6" applyFont="1" applyFill="1" applyBorder="1"/>
    <xf numFmtId="0" fontId="58" fillId="0" borderId="2" xfId="6" applyFont="1" applyFill="1" applyBorder="1" applyAlignment="1">
      <alignment horizontal="center" vertical="center" wrapText="1"/>
    </xf>
    <xf numFmtId="0" fontId="17" fillId="0" borderId="0" xfId="6" applyFont="1" applyFill="1"/>
    <xf numFmtId="0" fontId="58" fillId="0" borderId="6" xfId="6" applyFont="1" applyFill="1" applyBorder="1" applyAlignment="1">
      <alignment horizontal="center" vertical="center" wrapText="1"/>
    </xf>
    <xf numFmtId="0" fontId="58" fillId="0" borderId="6" xfId="6" applyFont="1" applyFill="1" applyBorder="1" applyAlignment="1">
      <alignment horizontal="center" vertical="center"/>
    </xf>
    <xf numFmtId="0" fontId="17" fillId="0" borderId="6" xfId="6" applyFont="1" applyFill="1" applyBorder="1" applyAlignment="1">
      <alignment horizontal="center" vertical="center"/>
    </xf>
    <xf numFmtId="175" fontId="71" fillId="0" borderId="6" xfId="6" applyNumberFormat="1" applyFont="1" applyFill="1" applyBorder="1" applyAlignment="1">
      <alignment horizontal="center" vertical="center"/>
    </xf>
    <xf numFmtId="166" fontId="58" fillId="0" borderId="6" xfId="6" applyNumberFormat="1" applyFont="1" applyFill="1" applyBorder="1" applyAlignment="1">
      <alignment horizontal="center" vertical="center"/>
    </xf>
    <xf numFmtId="0" fontId="17" fillId="0" borderId="2" xfId="6" applyFont="1" applyFill="1" applyBorder="1" applyAlignment="1">
      <alignment horizontal="center" vertical="center"/>
    </xf>
    <xf numFmtId="175" fontId="71" fillId="0" borderId="2" xfId="6" applyNumberFormat="1" applyFont="1" applyFill="1" applyBorder="1" applyAlignment="1">
      <alignment horizontal="center" vertical="center"/>
    </xf>
    <xf numFmtId="166" fontId="58" fillId="0" borderId="2" xfId="6" applyNumberFormat="1" applyFont="1" applyFill="1" applyBorder="1" applyAlignment="1">
      <alignment horizontal="center" vertical="center"/>
    </xf>
    <xf numFmtId="0" fontId="58" fillId="0" borderId="3" xfId="6" applyFont="1" applyFill="1" applyBorder="1" applyAlignment="1">
      <alignment horizontal="center" vertical="center" wrapText="1"/>
    </xf>
    <xf numFmtId="0" fontId="58" fillId="0" borderId="3" xfId="6" applyFont="1" applyFill="1" applyBorder="1" applyAlignment="1">
      <alignment horizontal="center" vertical="center"/>
    </xf>
    <xf numFmtId="0" fontId="17" fillId="0" borderId="3" xfId="6" applyFont="1" applyFill="1" applyBorder="1" applyAlignment="1">
      <alignment horizontal="center" vertical="center"/>
    </xf>
    <xf numFmtId="175" fontId="71" fillId="0" borderId="3" xfId="6" applyNumberFormat="1" applyFont="1" applyFill="1" applyBorder="1" applyAlignment="1">
      <alignment horizontal="center" vertical="center"/>
    </xf>
    <xf numFmtId="166" fontId="58" fillId="0" borderId="3" xfId="6" applyNumberFormat="1" applyFont="1" applyFill="1" applyBorder="1" applyAlignment="1">
      <alignment horizontal="center" vertical="center"/>
    </xf>
    <xf numFmtId="0" fontId="58" fillId="0" borderId="10" xfId="6" applyFont="1" applyFill="1" applyBorder="1" applyAlignment="1">
      <alignment horizontal="center" vertical="center" wrapText="1"/>
    </xf>
    <xf numFmtId="0" fontId="67" fillId="0" borderId="10" xfId="6" applyFont="1" applyFill="1" applyBorder="1" applyAlignment="1">
      <alignment horizontal="right" vertical="center"/>
    </xf>
    <xf numFmtId="0" fontId="65" fillId="0" borderId="10" xfId="6" applyFont="1" applyFill="1" applyBorder="1" applyAlignment="1">
      <alignment horizontal="center" vertical="center"/>
    </xf>
    <xf numFmtId="2" fontId="65" fillId="0" borderId="10" xfId="6" applyNumberFormat="1" applyFont="1" applyFill="1" applyBorder="1" applyAlignment="1">
      <alignment horizontal="center" vertical="center"/>
    </xf>
    <xf numFmtId="2" fontId="69" fillId="0" borderId="10" xfId="6" applyNumberFormat="1" applyFont="1" applyFill="1" applyBorder="1"/>
    <xf numFmtId="1" fontId="69" fillId="0" borderId="10" xfId="6" applyNumberFormat="1" applyFont="1" applyFill="1" applyBorder="1"/>
    <xf numFmtId="0" fontId="69" fillId="0" borderId="10" xfId="6" applyFont="1" applyFill="1" applyBorder="1" applyAlignment="1">
      <alignment horizontal="center" vertical="center"/>
    </xf>
    <xf numFmtId="0" fontId="69" fillId="0" borderId="46" xfId="6" applyFont="1" applyFill="1" applyBorder="1" applyAlignment="1">
      <alignment horizontal="center" vertical="center"/>
    </xf>
    <xf numFmtId="0" fontId="69" fillId="0" borderId="29" xfId="6" applyFont="1" applyFill="1" applyBorder="1"/>
    <xf numFmtId="49" fontId="69" fillId="0" borderId="0" xfId="6" applyNumberFormat="1" applyFont="1" applyFill="1" applyBorder="1"/>
    <xf numFmtId="0" fontId="58" fillId="0" borderId="0" xfId="6" applyFont="1" applyFill="1" applyBorder="1" applyAlignment="1">
      <alignment horizontal="center" vertical="center" wrapText="1"/>
    </xf>
    <xf numFmtId="3" fontId="65" fillId="0" borderId="0" xfId="6" applyNumberFormat="1" applyFont="1" applyFill="1" applyAlignment="1">
      <alignment vertical="center"/>
    </xf>
    <xf numFmtId="0" fontId="65" fillId="0" borderId="0" xfId="6" applyFont="1" applyFill="1"/>
    <xf numFmtId="170" fontId="65" fillId="0" borderId="0" xfId="6" applyNumberFormat="1" applyFont="1" applyFill="1" applyAlignment="1">
      <alignment vertical="center"/>
    </xf>
    <xf numFmtId="0" fontId="20" fillId="0" borderId="0" xfId="6" applyFont="1" applyFill="1" applyAlignment="1"/>
    <xf numFmtId="0" fontId="22" fillId="0" borderId="0" xfId="6" applyFont="1" applyFill="1" applyAlignment="1">
      <alignment horizontal="center"/>
    </xf>
    <xf numFmtId="2" fontId="22" fillId="0" borderId="0" xfId="6" applyNumberFormat="1" applyFont="1" applyFill="1" applyAlignment="1">
      <alignment horizontal="center"/>
    </xf>
    <xf numFmtId="4" fontId="22" fillId="0" borderId="0" xfId="6" applyNumberFormat="1" applyFont="1" applyFill="1" applyAlignment="1">
      <alignment horizontal="center"/>
    </xf>
    <xf numFmtId="3" fontId="20" fillId="0" borderId="0" xfId="6" applyNumberFormat="1" applyFont="1" applyFill="1" applyBorder="1" applyAlignment="1">
      <alignment horizontal="center"/>
    </xf>
    <xf numFmtId="0" fontId="72" fillId="0" borderId="0" xfId="6" applyFont="1" applyFill="1" applyBorder="1"/>
    <xf numFmtId="0" fontId="17" fillId="0" borderId="0" xfId="6" applyFont="1" applyFill="1" applyAlignment="1">
      <alignment horizontal="left"/>
    </xf>
    <xf numFmtId="0" fontId="17" fillId="0" borderId="0" xfId="6" applyFont="1" applyFill="1" applyAlignment="1">
      <alignment horizontal="left" vertical="center"/>
    </xf>
    <xf numFmtId="166" fontId="17" fillId="0" borderId="0" xfId="6" applyNumberFormat="1" applyFont="1" applyFill="1" applyAlignment="1">
      <alignment horizontal="left" vertical="center"/>
    </xf>
    <xf numFmtId="166" fontId="17" fillId="0" borderId="0" xfId="6" applyNumberFormat="1" applyFont="1" applyFill="1" applyBorder="1" applyAlignment="1">
      <alignment horizontal="left" vertical="center"/>
    </xf>
    <xf numFmtId="0" fontId="17" fillId="0" borderId="0" xfId="6" applyFont="1" applyFill="1" applyBorder="1" applyAlignment="1">
      <alignment vertical="center"/>
    </xf>
    <xf numFmtId="0" fontId="65" fillId="0" borderId="0" xfId="6" applyFont="1" applyFill="1" applyBorder="1" applyAlignment="1">
      <alignment horizontal="center" vertical="center"/>
    </xf>
    <xf numFmtId="2" fontId="65" fillId="0" borderId="0" xfId="6" applyNumberFormat="1" applyFont="1" applyFill="1" applyBorder="1" applyAlignment="1">
      <alignment horizontal="center" vertical="center"/>
    </xf>
    <xf numFmtId="1" fontId="69" fillId="0" borderId="0" xfId="6" applyNumberFormat="1" applyFont="1" applyFill="1"/>
    <xf numFmtId="3" fontId="26" fillId="0" borderId="0" xfId="6" applyNumberFormat="1" applyFont="1" applyFill="1" applyBorder="1" applyAlignment="1">
      <alignment horizontal="center"/>
    </xf>
    <xf numFmtId="176" fontId="17" fillId="0" borderId="0" xfId="6" applyNumberFormat="1" applyFont="1" applyFill="1" applyBorder="1"/>
    <xf numFmtId="166" fontId="26" fillId="0" borderId="0" xfId="6" applyNumberFormat="1" applyFont="1" applyFill="1" applyBorder="1" applyAlignment="1">
      <alignment horizontal="center"/>
    </xf>
    <xf numFmtId="0" fontId="65" fillId="0" borderId="0" xfId="6" applyFont="1" applyFill="1" applyAlignment="1">
      <alignment horizontal="center" vertical="center"/>
    </xf>
    <xf numFmtId="2" fontId="65" fillId="0" borderId="0" xfId="6" applyNumberFormat="1" applyFont="1" applyFill="1" applyAlignment="1">
      <alignment horizontal="center" vertical="center"/>
    </xf>
    <xf numFmtId="176" fontId="65" fillId="0" borderId="0" xfId="6" applyNumberFormat="1" applyFont="1" applyFill="1"/>
    <xf numFmtId="166" fontId="65" fillId="0" borderId="0" xfId="6" applyNumberFormat="1" applyFont="1" applyFill="1" applyBorder="1" applyAlignment="1">
      <alignment horizontal="center" vertical="center"/>
    </xf>
    <xf numFmtId="0" fontId="73" fillId="0" borderId="0" xfId="6" applyFont="1" applyFill="1" applyBorder="1"/>
    <xf numFmtId="3" fontId="58" fillId="0" borderId="0" xfId="6" applyNumberFormat="1" applyFont="1" applyFill="1" applyAlignment="1">
      <alignment horizontal="center" vertical="center"/>
    </xf>
    <xf numFmtId="0" fontId="58" fillId="0" borderId="29" xfId="6" applyFont="1" applyFill="1" applyBorder="1"/>
    <xf numFmtId="166" fontId="58" fillId="0" borderId="0" xfId="6" applyNumberFormat="1" applyFont="1" applyFill="1" applyAlignment="1">
      <alignment horizontal="center" vertical="center"/>
    </xf>
    <xf numFmtId="0" fontId="58" fillId="0" borderId="2" xfId="6" applyFont="1" applyFill="1" applyBorder="1" applyAlignment="1">
      <alignment horizontal="left" vertical="center" wrapText="1" indent="1"/>
    </xf>
    <xf numFmtId="0" fontId="58" fillId="0" borderId="2" xfId="7" applyFont="1" applyFill="1" applyBorder="1" applyAlignment="1">
      <alignment horizontal="center" vertical="center" wrapText="1"/>
    </xf>
    <xf numFmtId="2" fontId="68" fillId="0" borderId="2" xfId="7" applyNumberFormat="1" applyFont="1" applyFill="1" applyBorder="1" applyAlignment="1">
      <alignment horizontal="center" vertical="center" wrapText="1"/>
    </xf>
    <xf numFmtId="166" fontId="68" fillId="0" borderId="2" xfId="6" applyNumberFormat="1" applyFont="1" applyFill="1" applyBorder="1" applyAlignment="1">
      <alignment horizontal="center" vertical="center"/>
    </xf>
    <xf numFmtId="2" fontId="58" fillId="0" borderId="0" xfId="6" applyNumberFormat="1" applyFont="1" applyFill="1" applyAlignment="1">
      <alignment horizontal="left" vertical="top"/>
    </xf>
    <xf numFmtId="3" fontId="58" fillId="0" borderId="0" xfId="6" applyNumberFormat="1" applyFont="1" applyFill="1" applyAlignment="1">
      <alignment horizontal="left" vertical="top"/>
    </xf>
    <xf numFmtId="2" fontId="68" fillId="0" borderId="2" xfId="6" applyNumberFormat="1" applyFont="1" applyFill="1" applyBorder="1" applyAlignment="1">
      <alignment horizontal="center" vertical="center"/>
    </xf>
    <xf numFmtId="4" fontId="68" fillId="0" borderId="2" xfId="6" applyNumberFormat="1" applyFont="1" applyFill="1" applyBorder="1" applyAlignment="1">
      <alignment horizontal="center" vertical="center"/>
    </xf>
    <xf numFmtId="166" fontId="68" fillId="0" borderId="2" xfId="6" applyNumberFormat="1" applyFont="1" applyFill="1" applyBorder="1" applyAlignment="1">
      <alignment horizontal="center" vertical="center" wrapText="1"/>
    </xf>
    <xf numFmtId="49" fontId="58" fillId="0" borderId="2" xfId="6" applyNumberFormat="1" applyFont="1" applyFill="1" applyBorder="1" applyAlignment="1">
      <alignment horizontal="center" vertical="center"/>
    </xf>
    <xf numFmtId="1" fontId="69" fillId="0" borderId="2" xfId="5" applyNumberFormat="1" applyFont="1" applyFill="1" applyBorder="1" applyAlignment="1">
      <alignment horizontal="left" vertical="center" wrapText="1"/>
    </xf>
    <xf numFmtId="49" fontId="68" fillId="0" borderId="2" xfId="6" applyNumberFormat="1" applyFont="1" applyFill="1" applyBorder="1" applyAlignment="1">
      <alignment horizontal="center" vertical="center" wrapText="1"/>
    </xf>
    <xf numFmtId="0" fontId="69" fillId="0" borderId="6" xfId="6" applyFont="1" applyFill="1" applyBorder="1" applyAlignment="1">
      <alignment horizontal="left" vertical="center" wrapText="1"/>
    </xf>
    <xf numFmtId="0" fontId="17" fillId="0" borderId="2" xfId="6" applyFont="1" applyFill="1" applyBorder="1"/>
    <xf numFmtId="166" fontId="65" fillId="0" borderId="2" xfId="6" applyNumberFormat="1" applyFont="1" applyFill="1" applyBorder="1" applyAlignment="1">
      <alignment horizontal="center" vertical="center" wrapText="1"/>
    </xf>
    <xf numFmtId="0" fontId="69" fillId="0" borderId="2" xfId="6" applyFont="1" applyFill="1" applyBorder="1" applyAlignment="1">
      <alignment horizontal="center" vertical="center"/>
    </xf>
    <xf numFmtId="49" fontId="69" fillId="0" borderId="2" xfId="6" applyNumberFormat="1" applyFont="1" applyFill="1" applyBorder="1" applyAlignment="1">
      <alignment horizontal="center" vertical="center"/>
    </xf>
    <xf numFmtId="0" fontId="69" fillId="0" borderId="2" xfId="6" applyFont="1" applyFill="1" applyBorder="1" applyAlignment="1">
      <alignment horizontal="left" vertical="center" wrapText="1"/>
    </xf>
    <xf numFmtId="2" fontId="58" fillId="0" borderId="2" xfId="6" applyNumberFormat="1" applyFont="1" applyFill="1" applyBorder="1" applyAlignment="1">
      <alignment horizontal="center" vertical="center"/>
    </xf>
    <xf numFmtId="4" fontId="58" fillId="0" borderId="2" xfId="6" applyNumberFormat="1" applyFont="1" applyFill="1" applyBorder="1" applyAlignment="1">
      <alignment horizontal="center" vertical="center"/>
    </xf>
    <xf numFmtId="166" fontId="58" fillId="0" borderId="2" xfId="6" applyNumberFormat="1" applyFont="1" applyFill="1" applyBorder="1" applyAlignment="1">
      <alignment horizontal="center" vertical="center" wrapText="1"/>
    </xf>
    <xf numFmtId="49" fontId="69" fillId="0" borderId="2" xfId="5" applyNumberFormat="1" applyFont="1" applyFill="1" applyBorder="1" applyAlignment="1">
      <alignment horizontal="left" vertical="center" wrapText="1"/>
    </xf>
    <xf numFmtId="167" fontId="75" fillId="3" borderId="2" xfId="6" applyNumberFormat="1" applyFont="1" applyFill="1" applyBorder="1" applyAlignment="1">
      <alignment horizontal="left" vertical="center" wrapText="1"/>
    </xf>
    <xf numFmtId="0" fontId="68" fillId="0" borderId="2" xfId="6" applyFont="1" applyFill="1" applyBorder="1" applyAlignment="1">
      <alignment horizontal="left" vertical="center" wrapText="1" indent="1"/>
    </xf>
    <xf numFmtId="166" fontId="68" fillId="0" borderId="2" xfId="6" applyNumberFormat="1" applyFont="1" applyFill="1" applyBorder="1" applyAlignment="1">
      <alignment horizontal="left" vertical="center" wrapText="1" indent="1"/>
    </xf>
    <xf numFmtId="4" fontId="58" fillId="0" borderId="2" xfId="6" applyNumberFormat="1" applyFont="1" applyFill="1" applyBorder="1"/>
    <xf numFmtId="0" fontId="76" fillId="0" borderId="2" xfId="6" applyFont="1" applyFill="1" applyBorder="1" applyAlignment="1">
      <alignment horizontal="left" vertical="center" wrapText="1" indent="1"/>
    </xf>
    <xf numFmtId="0" fontId="17" fillId="0" borderId="2" xfId="7" applyFont="1" applyFill="1" applyBorder="1" applyAlignment="1">
      <alignment horizontal="center" vertical="center" wrapText="1"/>
    </xf>
    <xf numFmtId="2" fontId="71" fillId="0" borderId="2" xfId="7" applyNumberFormat="1" applyFont="1" applyFill="1" applyBorder="1" applyAlignment="1">
      <alignment horizontal="center" vertical="center" wrapText="1"/>
    </xf>
    <xf numFmtId="170" fontId="71" fillId="0" borderId="2" xfId="7" applyNumberFormat="1" applyFont="1" applyFill="1" applyBorder="1" applyAlignment="1">
      <alignment horizontal="center" vertical="center" wrapText="1"/>
    </xf>
    <xf numFmtId="3" fontId="17" fillId="0" borderId="2" xfId="7" applyNumberFormat="1" applyFont="1" applyFill="1" applyBorder="1" applyAlignment="1">
      <alignment horizontal="center" vertical="center" wrapText="1"/>
    </xf>
    <xf numFmtId="175" fontId="71" fillId="0" borderId="2" xfId="7" applyNumberFormat="1" applyFont="1" applyFill="1" applyBorder="1" applyAlignment="1">
      <alignment horizontal="center" vertical="center" wrapText="1"/>
    </xf>
    <xf numFmtId="166" fontId="17" fillId="0" borderId="2" xfId="6" applyNumberFormat="1" applyFont="1" applyFill="1" applyBorder="1" applyAlignment="1">
      <alignment horizontal="center" vertical="center"/>
    </xf>
    <xf numFmtId="166" fontId="77" fillId="0" borderId="2" xfId="6" applyNumberFormat="1" applyFont="1" applyFill="1" applyBorder="1" applyAlignment="1">
      <alignment horizontal="center" vertical="center"/>
    </xf>
    <xf numFmtId="0" fontId="26" fillId="0" borderId="2" xfId="6" applyFont="1" applyFill="1" applyBorder="1" applyAlignment="1">
      <alignment horizontal="right" vertical="center" wrapText="1" indent="1"/>
    </xf>
    <xf numFmtId="0" fontId="69" fillId="0" borderId="2" xfId="6" applyFont="1" applyFill="1" applyBorder="1" applyAlignment="1">
      <alignment horizontal="left" vertical="center" wrapText="1" indent="1"/>
    </xf>
    <xf numFmtId="0" fontId="68" fillId="0" borderId="2" xfId="7" applyFont="1" applyFill="1" applyBorder="1" applyAlignment="1">
      <alignment horizontal="center" vertical="center" wrapText="1"/>
    </xf>
    <xf numFmtId="2" fontId="77" fillId="0" borderId="2" xfId="7" applyNumberFormat="1" applyFont="1" applyFill="1" applyBorder="1" applyAlignment="1">
      <alignment horizontal="center" vertical="center" wrapText="1"/>
    </xf>
    <xf numFmtId="170" fontId="77" fillId="0" borderId="2" xfId="7" applyNumberFormat="1" applyFont="1" applyFill="1" applyBorder="1" applyAlignment="1">
      <alignment horizontal="center" vertical="center" wrapText="1"/>
    </xf>
    <xf numFmtId="3" fontId="68" fillId="0" borderId="2" xfId="7" applyNumberFormat="1" applyFont="1" applyFill="1" applyBorder="1" applyAlignment="1">
      <alignment horizontal="center" vertical="center" wrapText="1"/>
    </xf>
    <xf numFmtId="175" fontId="77" fillId="0" borderId="2" xfId="7" applyNumberFormat="1" applyFont="1" applyFill="1" applyBorder="1" applyAlignment="1">
      <alignment horizontal="center" vertical="center" wrapText="1"/>
    </xf>
    <xf numFmtId="175" fontId="65" fillId="0" borderId="2" xfId="7" applyNumberFormat="1" applyFont="1" applyFill="1" applyBorder="1" applyAlignment="1">
      <alignment horizontal="center" vertical="center" wrapText="1"/>
    </xf>
    <xf numFmtId="175" fontId="68" fillId="0" borderId="2" xfId="7" applyNumberFormat="1" applyFont="1" applyFill="1" applyBorder="1" applyAlignment="1">
      <alignment horizontal="center" vertical="center" wrapText="1"/>
    </xf>
    <xf numFmtId="0" fontId="58" fillId="0" borderId="0" xfId="6" applyFont="1" applyFill="1" applyAlignment="1">
      <alignment vertical="center" wrapText="1"/>
    </xf>
    <xf numFmtId="49" fontId="69" fillId="0" borderId="2" xfId="6" applyNumberFormat="1" applyFont="1" applyFill="1" applyBorder="1" applyAlignment="1">
      <alignment horizontal="center" vertical="center" wrapText="1"/>
    </xf>
    <xf numFmtId="49" fontId="58" fillId="0" borderId="2" xfId="6" applyNumberFormat="1" applyFont="1" applyFill="1" applyBorder="1" applyAlignment="1">
      <alignment wrapText="1"/>
    </xf>
    <xf numFmtId="49" fontId="69" fillId="0" borderId="2" xfId="6" applyNumberFormat="1" applyFont="1" applyFill="1" applyBorder="1" applyAlignment="1">
      <alignment wrapText="1"/>
    </xf>
    <xf numFmtId="49" fontId="68" fillId="0" borderId="2" xfId="6" applyNumberFormat="1" applyFont="1" applyFill="1" applyBorder="1" applyAlignment="1">
      <alignment horizontal="left" vertical="center" wrapText="1"/>
    </xf>
    <xf numFmtId="49" fontId="17" fillId="0" borderId="2" xfId="6" applyNumberFormat="1" applyFont="1" applyFill="1" applyBorder="1" applyAlignment="1">
      <alignment horizontal="center" vertical="center" wrapText="1"/>
    </xf>
    <xf numFmtId="49" fontId="17" fillId="0" borderId="2" xfId="6" applyNumberFormat="1" applyFont="1" applyFill="1" applyBorder="1" applyAlignment="1">
      <alignment wrapText="1"/>
    </xf>
    <xf numFmtId="49" fontId="58" fillId="0" borderId="2" xfId="6" applyNumberFormat="1" applyFont="1" applyFill="1" applyBorder="1" applyAlignment="1">
      <alignment horizontal="center" vertical="center" wrapText="1"/>
    </xf>
    <xf numFmtId="49" fontId="65" fillId="0" borderId="2" xfId="6" applyNumberFormat="1" applyFont="1" applyFill="1" applyBorder="1" applyAlignment="1">
      <alignment horizontal="center" vertical="center" wrapText="1"/>
    </xf>
    <xf numFmtId="0" fontId="58" fillId="0" borderId="2" xfId="6" applyFont="1" applyFill="1" applyBorder="1" applyAlignment="1">
      <alignment horizontal="center" vertical="center"/>
    </xf>
    <xf numFmtId="0" fontId="58" fillId="0" borderId="2" xfId="6" applyFont="1" applyFill="1" applyBorder="1" applyAlignment="1">
      <alignment horizontal="center" vertical="center" wrapText="1"/>
    </xf>
    <xf numFmtId="166" fontId="58" fillId="0" borderId="2" xfId="6" applyNumberFormat="1" applyFont="1" applyFill="1" applyBorder="1" applyAlignment="1">
      <alignment horizontal="center" vertical="center"/>
    </xf>
    <xf numFmtId="165" fontId="11" fillId="3" borderId="2" xfId="2" applyNumberFormat="1" applyFont="1" applyFill="1" applyBorder="1" applyAlignment="1">
      <alignment horizontal="center" vertical="center" wrapText="1"/>
    </xf>
    <xf numFmtId="165" fontId="11" fillId="0" borderId="2" xfId="2" applyNumberFormat="1" applyFont="1" applyFill="1" applyBorder="1" applyAlignment="1">
      <alignment horizontal="center" vertical="center" wrapText="1"/>
    </xf>
    <xf numFmtId="0" fontId="58" fillId="0" borderId="54" xfId="6" applyFont="1" applyFill="1" applyBorder="1" applyAlignment="1">
      <alignment horizontal="center" vertical="center"/>
    </xf>
    <xf numFmtId="0" fontId="58" fillId="0" borderId="35" xfId="6" applyFont="1" applyFill="1" applyBorder="1" applyAlignment="1">
      <alignment horizontal="center" vertical="center" wrapText="1"/>
    </xf>
    <xf numFmtId="0" fontId="58" fillId="0" borderId="35" xfId="6" applyFont="1" applyFill="1" applyBorder="1"/>
    <xf numFmtId="0" fontId="69" fillId="0" borderId="35" xfId="6" applyFont="1" applyFill="1" applyBorder="1"/>
    <xf numFmtId="0" fontId="69" fillId="0" borderId="35" xfId="6" applyFont="1" applyFill="1" applyBorder="1" applyAlignment="1">
      <alignment horizontal="center" vertical="center"/>
    </xf>
    <xf numFmtId="0" fontId="58" fillId="0" borderId="54" xfId="6" applyFont="1" applyFill="1" applyBorder="1" applyAlignment="1">
      <alignment horizontal="center" vertical="center" wrapText="1"/>
    </xf>
    <xf numFmtId="0" fontId="69" fillId="0" borderId="35" xfId="6" applyFont="1" applyFill="1" applyBorder="1" applyAlignment="1">
      <alignment horizontal="center" vertical="center" wrapText="1"/>
    </xf>
    <xf numFmtId="0" fontId="17" fillId="0" borderId="35" xfId="6" applyFont="1" applyFill="1" applyBorder="1"/>
    <xf numFmtId="0" fontId="79" fillId="0" borderId="28" xfId="6" applyFont="1" applyFill="1" applyBorder="1" applyAlignment="1">
      <alignment horizontal="center" vertical="center"/>
    </xf>
    <xf numFmtId="0" fontId="58" fillId="0" borderId="28" xfId="6" applyFont="1" applyFill="1" applyBorder="1"/>
    <xf numFmtId="49" fontId="58" fillId="0" borderId="28" xfId="6" applyNumberFormat="1" applyFont="1" applyFill="1" applyBorder="1"/>
    <xf numFmtId="49" fontId="58" fillId="0" borderId="28" xfId="6" applyNumberFormat="1" applyFont="1" applyFill="1" applyBorder="1" applyAlignment="1">
      <alignment horizontal="center" vertical="center"/>
    </xf>
    <xf numFmtId="0" fontId="58" fillId="0" borderId="57" xfId="6" applyFont="1" applyFill="1" applyBorder="1" applyAlignment="1">
      <alignment horizontal="center" vertical="center" wrapText="1"/>
    </xf>
    <xf numFmtId="0" fontId="76" fillId="0" borderId="3" xfId="6" applyFont="1" applyFill="1" applyBorder="1" applyAlignment="1">
      <alignment horizontal="left" vertical="center" wrapText="1" indent="1"/>
    </xf>
    <xf numFmtId="0" fontId="17" fillId="0" borderId="3" xfId="7" applyFont="1" applyFill="1" applyBorder="1" applyAlignment="1">
      <alignment horizontal="center" vertical="center" wrapText="1"/>
    </xf>
    <xf numFmtId="2" fontId="71" fillId="0" borderId="3" xfId="7" applyNumberFormat="1" applyFont="1" applyFill="1" applyBorder="1" applyAlignment="1">
      <alignment horizontal="center" vertical="center" wrapText="1"/>
    </xf>
    <xf numFmtId="170" fontId="71" fillId="0" borderId="3" xfId="7" applyNumberFormat="1" applyFont="1" applyFill="1" applyBorder="1" applyAlignment="1">
      <alignment horizontal="center" vertical="center" wrapText="1"/>
    </xf>
    <xf numFmtId="3" fontId="17" fillId="0" borderId="3" xfId="7" applyNumberFormat="1" applyFont="1" applyFill="1" applyBorder="1" applyAlignment="1">
      <alignment horizontal="center" vertical="center" wrapText="1"/>
    </xf>
    <xf numFmtId="175" fontId="71" fillId="0" borderId="3" xfId="7" applyNumberFormat="1" applyFont="1" applyFill="1" applyBorder="1" applyAlignment="1">
      <alignment horizontal="center" vertical="center" wrapText="1"/>
    </xf>
    <xf numFmtId="166" fontId="17" fillId="0" borderId="3" xfId="6" applyNumberFormat="1" applyFont="1" applyFill="1" applyBorder="1" applyAlignment="1">
      <alignment horizontal="center" vertical="center"/>
    </xf>
    <xf numFmtId="0" fontId="17" fillId="0" borderId="3" xfId="6" applyFont="1" applyFill="1" applyBorder="1"/>
    <xf numFmtId="49" fontId="58" fillId="0" borderId="3" xfId="6" applyNumberFormat="1" applyFont="1" applyFill="1" applyBorder="1" applyAlignment="1">
      <alignment horizontal="center" vertical="center"/>
    </xf>
    <xf numFmtId="49" fontId="17" fillId="0" borderId="3" xfId="6" applyNumberFormat="1" applyFont="1" applyFill="1" applyBorder="1" applyAlignment="1">
      <alignment horizontal="center" vertical="center" wrapText="1"/>
    </xf>
    <xf numFmtId="49" fontId="58" fillId="0" borderId="3" xfId="6" applyNumberFormat="1" applyFont="1" applyFill="1" applyBorder="1" applyAlignment="1">
      <alignment horizontal="center" vertical="center" wrapText="1"/>
    </xf>
    <xf numFmtId="49" fontId="17" fillId="0" borderId="3" xfId="6" applyNumberFormat="1" applyFont="1" applyFill="1" applyBorder="1" applyAlignment="1">
      <alignment wrapText="1"/>
    </xf>
    <xf numFmtId="0" fontId="17" fillId="0" borderId="55" xfId="6" applyFont="1" applyFill="1" applyBorder="1"/>
    <xf numFmtId="0" fontId="79" fillId="0" borderId="15" xfId="6" applyFont="1" applyFill="1" applyBorder="1" applyAlignment="1">
      <alignment horizontal="center" vertical="center"/>
    </xf>
    <xf numFmtId="0" fontId="58" fillId="0" borderId="15" xfId="6" applyFont="1" applyFill="1" applyBorder="1"/>
    <xf numFmtId="49" fontId="58" fillId="0" borderId="15" xfId="6" applyNumberFormat="1" applyFont="1" applyFill="1" applyBorder="1" applyAlignment="1">
      <alignment horizontal="center" vertical="center" wrapText="1"/>
    </xf>
    <xf numFmtId="49" fontId="58" fillId="0" borderId="15" xfId="6" applyNumberFormat="1" applyFont="1" applyFill="1" applyBorder="1" applyAlignment="1">
      <alignment wrapText="1"/>
    </xf>
    <xf numFmtId="1" fontId="14" fillId="3" borderId="2" xfId="2" applyNumberFormat="1" applyFont="1" applyFill="1" applyBorder="1" applyAlignment="1">
      <alignment horizontal="center" vertical="center" wrapText="1"/>
    </xf>
    <xf numFmtId="166" fontId="12" fillId="3" borderId="2" xfId="0" applyNumberFormat="1" applyFont="1" applyFill="1" applyBorder="1" applyAlignment="1">
      <alignment horizontal="center" vertical="center" wrapText="1"/>
    </xf>
    <xf numFmtId="0" fontId="12" fillId="3" borderId="2" xfId="0" applyNumberFormat="1" applyFont="1" applyFill="1" applyBorder="1" applyAlignment="1">
      <alignment horizontal="center" vertical="center" wrapText="1"/>
    </xf>
    <xf numFmtId="0" fontId="58" fillId="0" borderId="58" xfId="6" applyFont="1" applyFill="1" applyBorder="1" applyAlignment="1">
      <alignment horizontal="center" vertical="center"/>
    </xf>
    <xf numFmtId="165" fontId="58" fillId="0" borderId="6" xfId="2" applyNumberFormat="1" applyFont="1" applyFill="1" applyBorder="1" applyAlignment="1">
      <alignment horizontal="left" vertical="center" wrapText="1"/>
    </xf>
    <xf numFmtId="0" fontId="58" fillId="0" borderId="6" xfId="7" applyFont="1" applyFill="1" applyBorder="1" applyAlignment="1">
      <alignment horizontal="center" vertical="center" wrapText="1"/>
    </xf>
    <xf numFmtId="2" fontId="68" fillId="0" borderId="6" xfId="6" applyNumberFormat="1" applyFont="1" applyFill="1" applyBorder="1" applyAlignment="1">
      <alignment horizontal="center" vertical="center"/>
    </xf>
    <xf numFmtId="4" fontId="68" fillId="0" borderId="6" xfId="6" applyNumberFormat="1" applyFont="1" applyFill="1" applyBorder="1" applyAlignment="1">
      <alignment horizontal="center" vertical="center"/>
    </xf>
    <xf numFmtId="166" fontId="68" fillId="0" borderId="6" xfId="6" applyNumberFormat="1" applyFont="1" applyFill="1" applyBorder="1" applyAlignment="1">
      <alignment horizontal="center" vertical="center"/>
    </xf>
    <xf numFmtId="166" fontId="68" fillId="0" borderId="6" xfId="6" applyNumberFormat="1" applyFont="1" applyFill="1" applyBorder="1" applyAlignment="1">
      <alignment horizontal="center" vertical="center" wrapText="1"/>
    </xf>
    <xf numFmtId="16" fontId="58" fillId="0" borderId="6" xfId="6" applyNumberFormat="1" applyFont="1" applyFill="1" applyBorder="1" applyAlignment="1">
      <alignment horizontal="center" vertical="center"/>
    </xf>
    <xf numFmtId="49" fontId="58" fillId="0" borderId="6" xfId="6" applyNumberFormat="1" applyFont="1" applyFill="1" applyBorder="1" applyAlignment="1">
      <alignment horizontal="center" vertical="center"/>
    </xf>
    <xf numFmtId="49" fontId="65" fillId="0" borderId="6" xfId="6" applyNumberFormat="1" applyFont="1" applyFill="1" applyBorder="1" applyAlignment="1">
      <alignment horizontal="center" vertical="center" wrapText="1"/>
    </xf>
    <xf numFmtId="14" fontId="58" fillId="0" borderId="6" xfId="6" applyNumberFormat="1" applyFont="1" applyFill="1" applyBorder="1" applyAlignment="1">
      <alignment horizontal="center" vertical="center"/>
    </xf>
    <xf numFmtId="0" fontId="58" fillId="0" borderId="6" xfId="6" applyFont="1" applyFill="1" applyBorder="1"/>
    <xf numFmtId="0" fontId="65" fillId="0" borderId="6" xfId="6" applyFont="1" applyFill="1" applyBorder="1" applyAlignment="1">
      <alignment horizontal="center" vertical="center"/>
    </xf>
    <xf numFmtId="0" fontId="58" fillId="0" borderId="52" xfId="6" applyFont="1" applyFill="1" applyBorder="1" applyAlignment="1">
      <alignment horizontal="center" vertical="center" wrapText="1"/>
    </xf>
    <xf numFmtId="1" fontId="58" fillId="0" borderId="59" xfId="6" applyNumberFormat="1" applyFont="1" applyFill="1" applyBorder="1" applyAlignment="1">
      <alignment horizontal="center" vertical="center" wrapText="1"/>
    </xf>
    <xf numFmtId="1" fontId="58" fillId="0" borderId="41" xfId="6" applyNumberFormat="1" applyFont="1" applyFill="1" applyBorder="1" applyAlignment="1">
      <alignment horizontal="center" vertical="center" wrapText="1"/>
    </xf>
    <xf numFmtId="3" fontId="58" fillId="0" borderId="41" xfId="6" applyNumberFormat="1" applyFont="1" applyFill="1" applyBorder="1" applyAlignment="1">
      <alignment horizontal="center" vertical="center" wrapText="1"/>
    </xf>
    <xf numFmtId="49" fontId="58" fillId="0" borderId="41" xfId="6" applyNumberFormat="1" applyFont="1" applyFill="1" applyBorder="1" applyAlignment="1">
      <alignment horizontal="center" vertical="center" wrapText="1"/>
    </xf>
    <xf numFmtId="1" fontId="58" fillId="0" borderId="41" xfId="6" applyNumberFormat="1" applyFont="1" applyFill="1" applyBorder="1" applyAlignment="1">
      <alignment horizontal="center" vertical="center"/>
    </xf>
    <xf numFmtId="1" fontId="58" fillId="0" borderId="45" xfId="6" applyNumberFormat="1" applyFont="1" applyFill="1" applyBorder="1" applyAlignment="1">
      <alignment horizontal="center" vertical="center"/>
    </xf>
    <xf numFmtId="0" fontId="31" fillId="3" borderId="2" xfId="0" applyNumberFormat="1" applyFont="1" applyFill="1" applyBorder="1" applyAlignment="1">
      <alignment horizontal="center" vertical="center" wrapText="1"/>
    </xf>
    <xf numFmtId="49" fontId="19" fillId="0" borderId="5" xfId="2" applyNumberFormat="1" applyFont="1" applyFill="1" applyBorder="1" applyAlignment="1">
      <alignment horizontal="center" vertical="center" wrapText="1"/>
    </xf>
    <xf numFmtId="0" fontId="19" fillId="0" borderId="5" xfId="2" applyFont="1" applyFill="1" applyBorder="1" applyAlignment="1">
      <alignment horizontal="center" vertical="center" wrapText="1"/>
    </xf>
    <xf numFmtId="1" fontId="21" fillId="0" borderId="5" xfId="2" applyNumberFormat="1" applyFont="1" applyFill="1" applyBorder="1" applyAlignment="1">
      <alignment horizontal="center" vertical="center"/>
    </xf>
    <xf numFmtId="1" fontId="5" fillId="0" borderId="5" xfId="2" applyNumberFormat="1" applyFont="1" applyFill="1" applyBorder="1" applyAlignment="1">
      <alignment horizontal="center" vertical="center" wrapText="1"/>
    </xf>
    <xf numFmtId="166" fontId="5" fillId="0" borderId="5" xfId="2" applyNumberFormat="1" applyFont="1" applyFill="1" applyBorder="1" applyAlignment="1">
      <alignment horizontal="center" vertical="center"/>
    </xf>
    <xf numFmtId="174" fontId="31" fillId="10" borderId="3" xfId="5" applyNumberFormat="1" applyFont="1" applyFill="1" applyBorder="1" applyAlignment="1">
      <alignment horizontal="center" vertical="center" wrapText="1"/>
    </xf>
    <xf numFmtId="165" fontId="21" fillId="0" borderId="5" xfId="2" applyNumberFormat="1" applyFont="1" applyFill="1" applyBorder="1" applyAlignment="1">
      <alignment horizontal="center" vertical="center" wrapText="1"/>
    </xf>
    <xf numFmtId="49" fontId="19" fillId="0" borderId="41" xfId="2" applyNumberFormat="1" applyFont="1" applyFill="1" applyBorder="1" applyAlignment="1">
      <alignment horizontal="center" vertical="center" wrapText="1"/>
    </xf>
    <xf numFmtId="0" fontId="19" fillId="0" borderId="41" xfId="2" applyFont="1" applyFill="1" applyBorder="1" applyAlignment="1">
      <alignment horizontal="center" vertical="center" wrapText="1"/>
    </xf>
    <xf numFmtId="1" fontId="21" fillId="0" borderId="41" xfId="2" applyNumberFormat="1" applyFont="1" applyFill="1" applyBorder="1" applyAlignment="1">
      <alignment horizontal="center" vertical="center"/>
    </xf>
    <xf numFmtId="1" fontId="29" fillId="0" borderId="41" xfId="2" applyNumberFormat="1" applyFont="1" applyFill="1" applyBorder="1" applyAlignment="1">
      <alignment horizontal="center" vertical="center" wrapText="1"/>
    </xf>
    <xf numFmtId="166" fontId="29" fillId="0" borderId="41" xfId="2" applyNumberFormat="1" applyFont="1" applyFill="1" applyBorder="1" applyAlignment="1">
      <alignment horizontal="center" vertical="center"/>
    </xf>
    <xf numFmtId="166" fontId="16" fillId="0" borderId="41" xfId="0" applyNumberFormat="1" applyFont="1" applyFill="1" applyBorder="1" applyAlignment="1">
      <alignment horizontal="center" vertical="center" wrapText="1"/>
    </xf>
    <xf numFmtId="174" fontId="38" fillId="0" borderId="41" xfId="5" applyNumberFormat="1" applyFont="1" applyFill="1" applyBorder="1" applyAlignment="1">
      <alignment horizontal="center" vertical="center" wrapText="1"/>
    </xf>
    <xf numFmtId="168" fontId="38" fillId="0" borderId="41" xfId="5" applyNumberFormat="1" applyFont="1" applyFill="1" applyBorder="1" applyAlignment="1">
      <alignment horizontal="center" vertical="center" wrapText="1"/>
    </xf>
    <xf numFmtId="165" fontId="16" fillId="0" borderId="45" xfId="2" applyNumberFormat="1" applyFont="1" applyFill="1" applyBorder="1" applyAlignment="1">
      <alignment horizontal="center" vertical="center" wrapText="1"/>
    </xf>
    <xf numFmtId="166" fontId="13" fillId="0" borderId="41" xfId="2" applyNumberFormat="1" applyFont="1" applyFill="1" applyBorder="1" applyAlignment="1">
      <alignment horizontal="center" vertical="center"/>
    </xf>
    <xf numFmtId="166" fontId="0" fillId="0" borderId="0" xfId="0" applyNumberFormat="1"/>
    <xf numFmtId="43" fontId="0" fillId="0" borderId="0" xfId="1" applyFont="1"/>
    <xf numFmtId="4" fontId="59" fillId="2" borderId="2" xfId="0" applyNumberFormat="1" applyFont="1" applyFill="1" applyBorder="1" applyAlignment="1">
      <alignment horizontal="center" vertical="center" wrapText="1"/>
    </xf>
    <xf numFmtId="0" fontId="59" fillId="0" borderId="2" xfId="0" applyFont="1" applyBorder="1" applyAlignment="1">
      <alignment horizontal="left" vertical="center" wrapText="1"/>
    </xf>
    <xf numFmtId="166" fontId="59" fillId="16" borderId="2" xfId="0" applyNumberFormat="1" applyFont="1" applyFill="1" applyBorder="1" applyAlignment="1">
      <alignment horizontal="center" vertical="center" wrapText="1"/>
    </xf>
    <xf numFmtId="0" fontId="59" fillId="0" borderId="2" xfId="6" applyFont="1" applyBorder="1" applyAlignment="1">
      <alignment horizontal="center" vertical="center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0" borderId="2" xfId="2" applyNumberFormat="1" applyFont="1" applyFill="1" applyBorder="1" applyAlignment="1">
      <alignment horizontal="center" vertical="center"/>
    </xf>
    <xf numFmtId="0" fontId="60" fillId="0" borderId="2" xfId="6" applyFont="1" applyBorder="1" applyAlignment="1">
      <alignment horizontal="center"/>
    </xf>
    <xf numFmtId="166" fontId="59" fillId="2" borderId="2" xfId="0" applyNumberFormat="1" applyFont="1" applyFill="1" applyBorder="1" applyAlignment="1">
      <alignment horizontal="center" vertical="center" wrapText="1"/>
    </xf>
    <xf numFmtId="0" fontId="60" fillId="0" borderId="2" xfId="6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14" fontId="0" fillId="0" borderId="0" xfId="0" applyNumberFormat="1"/>
    <xf numFmtId="14" fontId="59" fillId="0" borderId="2" xfId="6" applyNumberFormat="1" applyFont="1" applyBorder="1" applyAlignment="1">
      <alignment horizontal="center" vertical="center" wrapText="1"/>
    </xf>
    <xf numFmtId="14" fontId="60" fillId="0" borderId="2" xfId="6" applyNumberFormat="1" applyFont="1" applyBorder="1" applyAlignment="1">
      <alignment horizontal="center"/>
    </xf>
    <xf numFmtId="14" fontId="8" fillId="2" borderId="2" xfId="2" applyNumberFormat="1" applyFont="1" applyFill="1" applyBorder="1" applyAlignment="1">
      <alignment horizontal="center" vertical="center" wrapText="1"/>
    </xf>
    <xf numFmtId="14" fontId="62" fillId="0" borderId="0" xfId="0" applyNumberFormat="1" applyFont="1"/>
    <xf numFmtId="14" fontId="62" fillId="0" borderId="0" xfId="0" applyNumberFormat="1" applyFont="1" applyAlignment="1"/>
    <xf numFmtId="0" fontId="59" fillId="0" borderId="2" xfId="6" applyNumberFormat="1" applyFont="1" applyBorder="1" applyAlignment="1">
      <alignment horizontal="center" vertical="center" wrapText="1"/>
    </xf>
    <xf numFmtId="0" fontId="60" fillId="0" borderId="2" xfId="6" applyNumberFormat="1" applyFont="1" applyBorder="1" applyAlignment="1">
      <alignment horizontal="center"/>
    </xf>
    <xf numFmtId="0" fontId="8" fillId="2" borderId="2" xfId="2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62" fillId="0" borderId="0" xfId="0" applyNumberFormat="1" applyFont="1" applyAlignment="1">
      <alignment horizontal="center"/>
    </xf>
    <xf numFmtId="166" fontId="8" fillId="0" borderId="2" xfId="2" applyNumberFormat="1" applyFont="1" applyFill="1" applyBorder="1" applyAlignment="1">
      <alignment horizontal="center" vertical="center" wrapText="1"/>
    </xf>
    <xf numFmtId="0" fontId="59" fillId="0" borderId="2" xfId="6" applyFont="1" applyBorder="1" applyAlignment="1">
      <alignment horizontal="center" vertical="center"/>
    </xf>
    <xf numFmtId="43" fontId="0" fillId="0" borderId="0" xfId="0" applyNumberFormat="1"/>
    <xf numFmtId="165" fontId="8" fillId="0" borderId="2" xfId="2" applyNumberFormat="1" applyFont="1" applyFill="1" applyBorder="1" applyAlignment="1">
      <alignment horizontal="center" vertical="center"/>
    </xf>
    <xf numFmtId="0" fontId="59" fillId="0" borderId="2" xfId="6" applyFont="1" applyBorder="1" applyAlignment="1">
      <alignment horizontal="center" vertical="center"/>
    </xf>
    <xf numFmtId="0" fontId="4" fillId="2" borderId="0" xfId="2" applyFont="1" applyFill="1" applyAlignment="1">
      <alignment horizontal="center" vertical="top" wrapText="1"/>
    </xf>
    <xf numFmtId="165" fontId="4" fillId="2" borderId="9" xfId="2" applyNumberFormat="1" applyFont="1" applyFill="1" applyBorder="1" applyAlignment="1">
      <alignment horizontal="center" vertical="center" wrapText="1"/>
    </xf>
    <xf numFmtId="165" fontId="4" fillId="2" borderId="10" xfId="2" applyNumberFormat="1" applyFont="1" applyFill="1" applyBorder="1" applyAlignment="1">
      <alignment horizontal="center" vertical="center" wrapText="1"/>
    </xf>
    <xf numFmtId="165" fontId="4" fillId="2" borderId="46" xfId="2" applyNumberFormat="1" applyFont="1" applyFill="1" applyBorder="1" applyAlignment="1">
      <alignment horizontal="center" vertical="center" wrapText="1"/>
    </xf>
    <xf numFmtId="165" fontId="4" fillId="2" borderId="17" xfId="2" applyNumberFormat="1" applyFont="1" applyFill="1" applyBorder="1" applyAlignment="1">
      <alignment horizontal="center" vertical="center" wrapText="1"/>
    </xf>
    <xf numFmtId="165" fontId="4" fillId="2" borderId="0" xfId="2" applyNumberFormat="1" applyFont="1" applyFill="1" applyBorder="1" applyAlignment="1">
      <alignment horizontal="center" vertical="center" wrapText="1"/>
    </xf>
    <xf numFmtId="165" fontId="4" fillId="2" borderId="30" xfId="2" applyNumberFormat="1" applyFont="1" applyFill="1" applyBorder="1" applyAlignment="1">
      <alignment horizontal="center" vertical="center" wrapText="1"/>
    </xf>
    <xf numFmtId="165" fontId="4" fillId="2" borderId="22" xfId="2" applyNumberFormat="1" applyFont="1" applyFill="1" applyBorder="1" applyAlignment="1">
      <alignment horizontal="center" vertical="center" wrapText="1"/>
    </xf>
    <xf numFmtId="165" fontId="4" fillId="2" borderId="23" xfId="2" applyNumberFormat="1" applyFont="1" applyFill="1" applyBorder="1" applyAlignment="1">
      <alignment horizontal="center" vertical="center" wrapText="1"/>
    </xf>
    <xf numFmtId="165" fontId="4" fillId="2" borderId="38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6" fontId="16" fillId="13" borderId="19" xfId="0" applyNumberFormat="1" applyFont="1" applyFill="1" applyBorder="1" applyAlignment="1">
      <alignment horizontal="center" vertical="center" wrapText="1"/>
    </xf>
    <xf numFmtId="166" fontId="16" fillId="13" borderId="20" xfId="0" applyNumberFormat="1" applyFont="1" applyFill="1" applyBorder="1" applyAlignment="1">
      <alignment horizontal="center" vertical="center" wrapText="1"/>
    </xf>
    <xf numFmtId="166" fontId="16" fillId="13" borderId="7" xfId="0" applyNumberFormat="1" applyFont="1" applyFill="1" applyBorder="1" applyAlignment="1">
      <alignment horizontal="center" vertical="center" wrapText="1"/>
    </xf>
    <xf numFmtId="166" fontId="16" fillId="5" borderId="19" xfId="0" applyNumberFormat="1" applyFont="1" applyFill="1" applyBorder="1" applyAlignment="1">
      <alignment horizontal="center" vertical="center" wrapText="1"/>
    </xf>
    <xf numFmtId="166" fontId="16" fillId="5" borderId="20" xfId="0" applyNumberFormat="1" applyFont="1" applyFill="1" applyBorder="1" applyAlignment="1">
      <alignment horizontal="center" vertical="center" wrapText="1"/>
    </xf>
    <xf numFmtId="166" fontId="16" fillId="5" borderId="7" xfId="0" applyNumberFormat="1" applyFont="1" applyFill="1" applyBorder="1" applyAlignment="1">
      <alignment horizontal="center" vertical="center" wrapText="1"/>
    </xf>
    <xf numFmtId="165" fontId="8" fillId="0" borderId="2" xfId="2" applyNumberFormat="1" applyFont="1" applyFill="1" applyBorder="1" applyAlignment="1">
      <alignment horizontal="center" vertical="center" textRotation="90" wrapText="1"/>
    </xf>
    <xf numFmtId="165" fontId="8" fillId="0" borderId="2" xfId="2" applyNumberFormat="1" applyFont="1" applyFill="1" applyBorder="1" applyAlignment="1">
      <alignment horizontal="center" vertical="center" textRotation="90"/>
    </xf>
    <xf numFmtId="165" fontId="10" fillId="0" borderId="2" xfId="0" applyNumberFormat="1" applyFont="1" applyFill="1" applyBorder="1" applyAlignment="1">
      <alignment horizontal="center" vertical="center" wrapText="1"/>
    </xf>
    <xf numFmtId="165" fontId="8" fillId="0" borderId="2" xfId="2" applyNumberFormat="1" applyFont="1" applyFill="1" applyBorder="1" applyAlignment="1">
      <alignment horizontal="center" vertical="center" wrapText="1"/>
    </xf>
    <xf numFmtId="165" fontId="8" fillId="0" borderId="2" xfId="2" applyNumberFormat="1" applyFont="1" applyFill="1" applyBorder="1" applyAlignment="1">
      <alignment horizontal="center" vertical="center"/>
    </xf>
    <xf numFmtId="165" fontId="8" fillId="0" borderId="3" xfId="2" applyNumberFormat="1" applyFont="1" applyFill="1" applyBorder="1" applyAlignment="1">
      <alignment horizontal="center" vertical="center" textRotation="90" wrapText="1"/>
    </xf>
    <xf numFmtId="165" fontId="8" fillId="0" borderId="5" xfId="2" applyNumberFormat="1" applyFont="1" applyFill="1" applyBorder="1" applyAlignment="1">
      <alignment horizontal="center" vertical="center" textRotation="90" wrapText="1"/>
    </xf>
    <xf numFmtId="165" fontId="8" fillId="0" borderId="6" xfId="2" applyNumberFormat="1" applyFont="1" applyFill="1" applyBorder="1" applyAlignment="1">
      <alignment horizontal="center" vertical="center" textRotation="90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0" fillId="0" borderId="6" xfId="0" applyNumberFormat="1" applyFont="1" applyFill="1" applyBorder="1" applyAlignment="1">
      <alignment horizontal="center" vertical="center" wrapText="1"/>
    </xf>
    <xf numFmtId="166" fontId="21" fillId="6" borderId="37" xfId="0" applyNumberFormat="1" applyFont="1" applyFill="1" applyBorder="1" applyAlignment="1">
      <alignment horizontal="center" vertical="center" wrapText="1"/>
    </xf>
    <xf numFmtId="166" fontId="21" fillId="6" borderId="23" xfId="0" applyNumberFormat="1" applyFont="1" applyFill="1" applyBorder="1" applyAlignment="1">
      <alignment horizontal="center" vertical="center" wrapText="1"/>
    </xf>
    <xf numFmtId="166" fontId="21" fillId="6" borderId="38" xfId="0" applyNumberFormat="1" applyFont="1" applyFill="1" applyBorder="1" applyAlignment="1">
      <alignment horizontal="center" vertical="center" wrapText="1"/>
    </xf>
    <xf numFmtId="166" fontId="21" fillId="6" borderId="2" xfId="0" applyNumberFormat="1" applyFont="1" applyFill="1" applyBorder="1" applyAlignment="1">
      <alignment horizontal="center" vertical="center" wrapText="1"/>
    </xf>
    <xf numFmtId="166" fontId="16" fillId="13" borderId="13" xfId="0" applyNumberFormat="1" applyFont="1" applyFill="1" applyBorder="1" applyAlignment="1">
      <alignment horizontal="center" vertical="center" wrapText="1"/>
    </xf>
    <xf numFmtId="166" fontId="16" fillId="13" borderId="14" xfId="0" applyNumberFormat="1" applyFont="1" applyFill="1" applyBorder="1" applyAlignment="1">
      <alignment horizontal="center" vertical="center" wrapText="1"/>
    </xf>
    <xf numFmtId="166" fontId="16" fillId="13" borderId="12" xfId="0" applyNumberFormat="1" applyFont="1" applyFill="1" applyBorder="1" applyAlignment="1">
      <alignment horizontal="center" vertical="center" wrapText="1"/>
    </xf>
    <xf numFmtId="166" fontId="16" fillId="5" borderId="43" xfId="0" applyNumberFormat="1" applyFont="1" applyFill="1" applyBorder="1" applyAlignment="1">
      <alignment horizontal="center" vertical="center" wrapText="1"/>
    </xf>
    <xf numFmtId="166" fontId="16" fillId="5" borderId="44" xfId="0" applyNumberFormat="1" applyFont="1" applyFill="1" applyBorder="1" applyAlignment="1">
      <alignment horizontal="center" vertical="center" wrapText="1"/>
    </xf>
    <xf numFmtId="166" fontId="16" fillId="5" borderId="42" xfId="0" applyNumberFormat="1" applyFont="1" applyFill="1" applyBorder="1" applyAlignment="1">
      <alignment horizontal="center" vertical="center" wrapText="1"/>
    </xf>
    <xf numFmtId="166" fontId="16" fillId="14" borderId="43" xfId="0" applyNumberFormat="1" applyFont="1" applyFill="1" applyBorder="1" applyAlignment="1">
      <alignment horizontal="center" vertical="center" wrapText="1"/>
    </xf>
    <xf numFmtId="166" fontId="16" fillId="14" borderId="44" xfId="0" applyNumberFormat="1" applyFont="1" applyFill="1" applyBorder="1" applyAlignment="1">
      <alignment horizontal="center" vertical="center" wrapText="1"/>
    </xf>
    <xf numFmtId="166" fontId="16" fillId="14" borderId="42" xfId="0" applyNumberFormat="1" applyFont="1" applyFill="1" applyBorder="1" applyAlignment="1">
      <alignment horizontal="center" vertical="center" wrapText="1"/>
    </xf>
    <xf numFmtId="166" fontId="21" fillId="13" borderId="19" xfId="0" applyNumberFormat="1" applyFont="1" applyFill="1" applyBorder="1" applyAlignment="1">
      <alignment horizontal="center" vertical="center" wrapText="1"/>
    </xf>
    <xf numFmtId="166" fontId="21" fillId="13" borderId="20" xfId="0" applyNumberFormat="1" applyFont="1" applyFill="1" applyBorder="1" applyAlignment="1">
      <alignment horizontal="center" vertical="center" wrapText="1"/>
    </xf>
    <xf numFmtId="166" fontId="21" fillId="13" borderId="7" xfId="0" applyNumberFormat="1" applyFont="1" applyFill="1" applyBorder="1" applyAlignment="1">
      <alignment horizontal="center" vertical="center" wrapText="1"/>
    </xf>
    <xf numFmtId="166" fontId="21" fillId="13" borderId="26" xfId="0" applyNumberFormat="1" applyFont="1" applyFill="1" applyBorder="1" applyAlignment="1">
      <alignment horizontal="center" vertical="center" wrapText="1"/>
    </xf>
    <xf numFmtId="166" fontId="21" fillId="13" borderId="27" xfId="0" applyNumberFormat="1" applyFont="1" applyFill="1" applyBorder="1" applyAlignment="1">
      <alignment horizontal="center" vertical="center" wrapText="1"/>
    </xf>
    <xf numFmtId="166" fontId="21" fillId="13" borderId="25" xfId="0" applyNumberFormat="1" applyFont="1" applyFill="1" applyBorder="1" applyAlignment="1">
      <alignment horizontal="center" vertical="center" wrapText="1"/>
    </xf>
    <xf numFmtId="166" fontId="16" fillId="6" borderId="47" xfId="0" applyNumberFormat="1" applyFont="1" applyFill="1" applyBorder="1" applyAlignment="1">
      <alignment horizontal="center" vertical="center" wrapText="1"/>
    </xf>
    <xf numFmtId="166" fontId="16" fillId="6" borderId="6" xfId="0" applyNumberFormat="1" applyFont="1" applyFill="1" applyBorder="1" applyAlignment="1">
      <alignment horizontal="center" vertical="center" wrapText="1"/>
    </xf>
    <xf numFmtId="166" fontId="16" fillId="14" borderId="19" xfId="0" applyNumberFormat="1" applyFont="1" applyFill="1" applyBorder="1" applyAlignment="1">
      <alignment horizontal="center" vertical="center" wrapText="1"/>
    </xf>
    <xf numFmtId="166" fontId="16" fillId="14" borderId="20" xfId="0" applyNumberFormat="1" applyFont="1" applyFill="1" applyBorder="1" applyAlignment="1">
      <alignment horizontal="center" vertical="center" wrapText="1"/>
    </xf>
    <xf numFmtId="166" fontId="16" fillId="14" borderId="7" xfId="0" applyNumberFormat="1" applyFont="1" applyFill="1" applyBorder="1" applyAlignment="1">
      <alignment horizontal="center" vertical="center" wrapText="1"/>
    </xf>
    <xf numFmtId="166" fontId="16" fillId="6" borderId="26" xfId="0" applyNumberFormat="1" applyFont="1" applyFill="1" applyBorder="1" applyAlignment="1">
      <alignment horizontal="center" vertical="center" wrapText="1"/>
    </xf>
    <xf numFmtId="166" fontId="16" fillId="6" borderId="27" xfId="0" applyNumberFormat="1" applyFont="1" applyFill="1" applyBorder="1" applyAlignment="1">
      <alignment horizontal="center" vertical="center" wrapText="1"/>
    </xf>
    <xf numFmtId="166" fontId="16" fillId="6" borderId="25" xfId="0" applyNumberFormat="1" applyFont="1" applyFill="1" applyBorder="1" applyAlignment="1">
      <alignment horizontal="center" vertical="center" wrapText="1"/>
    </xf>
    <xf numFmtId="165" fontId="8" fillId="2" borderId="2" xfId="2" applyNumberFormat="1" applyFont="1" applyFill="1" applyBorder="1" applyAlignment="1">
      <alignment horizontal="center" vertical="center" wrapText="1"/>
    </xf>
    <xf numFmtId="165" fontId="8" fillId="2" borderId="2" xfId="2" applyNumberFormat="1" applyFont="1" applyFill="1" applyBorder="1" applyAlignment="1">
      <alignment horizontal="center" vertical="center"/>
    </xf>
    <xf numFmtId="165" fontId="16" fillId="0" borderId="8" xfId="2" applyNumberFormat="1" applyFont="1" applyFill="1" applyBorder="1" applyAlignment="1">
      <alignment horizontal="center" vertical="center"/>
    </xf>
    <xf numFmtId="165" fontId="16" fillId="0" borderId="16" xfId="2" applyNumberFormat="1" applyFont="1" applyFill="1" applyBorder="1" applyAlignment="1">
      <alignment horizontal="center" vertical="center"/>
    </xf>
    <xf numFmtId="165" fontId="16" fillId="0" borderId="21" xfId="2" applyNumberFormat="1" applyFont="1" applyFill="1" applyBorder="1" applyAlignment="1">
      <alignment horizontal="center" vertical="center"/>
    </xf>
    <xf numFmtId="165" fontId="17" fillId="0" borderId="9" xfId="2" applyNumberFormat="1" applyFont="1" applyFill="1" applyBorder="1" applyAlignment="1">
      <alignment horizontal="center" vertical="center" wrapText="1"/>
    </xf>
    <xf numFmtId="165" fontId="17" fillId="0" borderId="10" xfId="2" applyNumberFormat="1" applyFont="1" applyFill="1" applyBorder="1" applyAlignment="1">
      <alignment horizontal="center" vertical="center" wrapText="1"/>
    </xf>
    <xf numFmtId="165" fontId="17" fillId="0" borderId="11" xfId="2" applyNumberFormat="1" applyFont="1" applyFill="1" applyBorder="1" applyAlignment="1">
      <alignment horizontal="center" vertical="center" wrapText="1"/>
    </xf>
    <xf numFmtId="165" fontId="17" fillId="0" borderId="17" xfId="2" applyNumberFormat="1" applyFont="1" applyFill="1" applyBorder="1" applyAlignment="1">
      <alignment horizontal="center" vertical="center" wrapText="1"/>
    </xf>
    <xf numFmtId="165" fontId="17" fillId="0" borderId="0" xfId="2" applyNumberFormat="1" applyFont="1" applyFill="1" applyBorder="1" applyAlignment="1">
      <alignment horizontal="center" vertical="center" wrapText="1"/>
    </xf>
    <xf numFmtId="165" fontId="17" fillId="0" borderId="18" xfId="2" applyNumberFormat="1" applyFont="1" applyFill="1" applyBorder="1" applyAlignment="1">
      <alignment horizontal="center" vertical="center" wrapText="1"/>
    </xf>
    <xf numFmtId="165" fontId="17" fillId="0" borderId="22" xfId="2" applyNumberFormat="1" applyFont="1" applyFill="1" applyBorder="1" applyAlignment="1">
      <alignment horizontal="center" vertical="center" wrapText="1"/>
    </xf>
    <xf numFmtId="165" fontId="17" fillId="0" borderId="23" xfId="2" applyNumberFormat="1" applyFont="1" applyFill="1" applyBorder="1" applyAlignment="1">
      <alignment horizontal="center" vertical="center" wrapText="1"/>
    </xf>
    <xf numFmtId="165" fontId="17" fillId="0" borderId="24" xfId="2" applyNumberFormat="1" applyFont="1" applyFill="1" applyBorder="1" applyAlignment="1">
      <alignment horizontal="center" vertical="center" wrapText="1"/>
    </xf>
    <xf numFmtId="1" fontId="15" fillId="11" borderId="13" xfId="0" applyNumberFormat="1" applyFont="1" applyFill="1" applyBorder="1" applyAlignment="1">
      <alignment horizontal="center" vertical="center" wrapText="1"/>
    </xf>
    <xf numFmtId="1" fontId="15" fillId="11" borderId="14" xfId="0" applyNumberFormat="1" applyFont="1" applyFill="1" applyBorder="1" applyAlignment="1">
      <alignment horizontal="center" vertical="center" wrapText="1"/>
    </xf>
    <xf numFmtId="1" fontId="15" fillId="11" borderId="12" xfId="0" applyNumberFormat="1" applyFont="1" applyFill="1" applyBorder="1" applyAlignment="1">
      <alignment horizontal="center" vertical="center" wrapText="1"/>
    </xf>
    <xf numFmtId="1" fontId="15" fillId="4" borderId="32" xfId="0" applyNumberFormat="1" applyFont="1" applyFill="1" applyBorder="1" applyAlignment="1">
      <alignment horizontal="center" vertical="center" wrapText="1"/>
    </xf>
    <xf numFmtId="1" fontId="15" fillId="4" borderId="1" xfId="0" applyNumberFormat="1" applyFont="1" applyFill="1" applyBorder="1" applyAlignment="1">
      <alignment horizontal="center" vertical="center" wrapText="1"/>
    </xf>
    <xf numFmtId="1" fontId="15" fillId="4" borderId="31" xfId="0" applyNumberFormat="1" applyFont="1" applyFill="1" applyBorder="1" applyAlignment="1">
      <alignment horizontal="center" vertical="center" wrapText="1"/>
    </xf>
    <xf numFmtId="165" fontId="40" fillId="2" borderId="8" xfId="2" applyNumberFormat="1" applyFont="1" applyFill="1" applyBorder="1" applyAlignment="1">
      <alignment horizontal="center" vertical="center"/>
    </xf>
    <xf numFmtId="165" fontId="40" fillId="2" borderId="16" xfId="2" applyNumberFormat="1" applyFont="1" applyFill="1" applyBorder="1" applyAlignment="1">
      <alignment horizontal="center" vertical="center"/>
    </xf>
    <xf numFmtId="165" fontId="40" fillId="2" borderId="21" xfId="2" applyNumberFormat="1" applyFont="1" applyFill="1" applyBorder="1" applyAlignment="1">
      <alignment horizontal="center" vertical="center"/>
    </xf>
    <xf numFmtId="1" fontId="15" fillId="4" borderId="13" xfId="0" applyNumberFormat="1" applyFont="1" applyFill="1" applyBorder="1" applyAlignment="1">
      <alignment horizontal="center" vertical="center" wrapText="1"/>
    </xf>
    <xf numFmtId="1" fontId="15" fillId="4" borderId="14" xfId="0" applyNumberFormat="1" applyFont="1" applyFill="1" applyBorder="1" applyAlignment="1">
      <alignment horizontal="center" vertical="center" wrapText="1"/>
    </xf>
    <xf numFmtId="1" fontId="15" fillId="4" borderId="12" xfId="0" applyNumberFormat="1" applyFont="1" applyFill="1" applyBorder="1" applyAlignment="1">
      <alignment horizontal="center" vertical="center" wrapText="1"/>
    </xf>
    <xf numFmtId="3" fontId="16" fillId="13" borderId="47" xfId="0" applyNumberFormat="1" applyFont="1" applyFill="1" applyBorder="1" applyAlignment="1">
      <alignment horizontal="center" vertical="center" wrapText="1"/>
    </xf>
    <xf numFmtId="3" fontId="16" fillId="13" borderId="5" xfId="0" applyNumberFormat="1" applyFont="1" applyFill="1" applyBorder="1" applyAlignment="1">
      <alignment horizontal="center" vertical="center" wrapText="1"/>
    </xf>
    <xf numFmtId="3" fontId="16" fillId="13" borderId="39" xfId="0" applyNumberFormat="1" applyFont="1" applyFill="1" applyBorder="1" applyAlignment="1">
      <alignment horizontal="center" vertical="center" wrapText="1"/>
    </xf>
    <xf numFmtId="166" fontId="18" fillId="11" borderId="47" xfId="0" applyNumberFormat="1" applyFont="1" applyFill="1" applyBorder="1" applyAlignment="1">
      <alignment horizontal="center" vertical="center" wrapText="1"/>
    </xf>
    <xf numFmtId="166" fontId="18" fillId="11" borderId="39" xfId="0" applyNumberFormat="1" applyFont="1" applyFill="1" applyBorder="1" applyAlignment="1">
      <alignment horizontal="center" vertical="center" wrapText="1"/>
    </xf>
    <xf numFmtId="166" fontId="16" fillId="13" borderId="32" xfId="0" applyNumberFormat="1" applyFont="1" applyFill="1" applyBorder="1" applyAlignment="1">
      <alignment horizontal="center" vertical="center" wrapText="1"/>
    </xf>
    <xf numFmtId="166" fontId="16" fillId="13" borderId="1" xfId="0" applyNumberFormat="1" applyFont="1" applyFill="1" applyBorder="1" applyAlignment="1">
      <alignment horizontal="center" vertical="center" wrapText="1"/>
    </xf>
    <xf numFmtId="166" fontId="16" fillId="13" borderId="31" xfId="0" applyNumberFormat="1" applyFont="1" applyFill="1" applyBorder="1" applyAlignment="1">
      <alignment horizontal="center" vertical="center" wrapText="1"/>
    </xf>
    <xf numFmtId="166" fontId="16" fillId="6" borderId="48" xfId="0" applyNumberFormat="1" applyFont="1" applyFill="1" applyBorder="1" applyAlignment="1">
      <alignment horizontal="center" vertical="center" wrapText="1"/>
    </xf>
    <xf numFmtId="166" fontId="16" fillId="6" borderId="10" xfId="0" applyNumberFormat="1" applyFont="1" applyFill="1" applyBorder="1" applyAlignment="1">
      <alignment horizontal="center" vertical="center" wrapText="1"/>
    </xf>
    <xf numFmtId="166" fontId="16" fillId="6" borderId="46" xfId="0" applyNumberFormat="1" applyFont="1" applyFill="1" applyBorder="1" applyAlignment="1">
      <alignment horizontal="center" vertical="center" wrapText="1"/>
    </xf>
    <xf numFmtId="166" fontId="16" fillId="6" borderId="32" xfId="0" applyNumberFormat="1" applyFont="1" applyFill="1" applyBorder="1" applyAlignment="1">
      <alignment horizontal="center" vertical="center" wrapText="1"/>
    </xf>
    <xf numFmtId="166" fontId="16" fillId="6" borderId="1" xfId="0" applyNumberFormat="1" applyFont="1" applyFill="1" applyBorder="1" applyAlignment="1">
      <alignment horizontal="center" vertical="center" wrapText="1"/>
    </xf>
    <xf numFmtId="166" fontId="16" fillId="6" borderId="31" xfId="0" applyNumberFormat="1" applyFont="1" applyFill="1" applyBorder="1" applyAlignment="1">
      <alignment horizontal="center" vertical="center" wrapText="1"/>
    </xf>
    <xf numFmtId="3" fontId="16" fillId="6" borderId="47" xfId="0" applyNumberFormat="1" applyFont="1" applyFill="1" applyBorder="1" applyAlignment="1">
      <alignment horizontal="center" vertical="center" wrapText="1"/>
    </xf>
    <xf numFmtId="3" fontId="16" fillId="6" borderId="6" xfId="0" applyNumberFormat="1" applyFont="1" applyFill="1" applyBorder="1" applyAlignment="1">
      <alignment horizontal="center" vertical="center" wrapText="1"/>
    </xf>
    <xf numFmtId="1" fontId="12" fillId="6" borderId="9" xfId="0" applyNumberFormat="1" applyFont="1" applyFill="1" applyBorder="1" applyAlignment="1">
      <alignment horizontal="center" vertical="center" wrapText="1"/>
    </xf>
    <xf numFmtId="1" fontId="12" fillId="6" borderId="10" xfId="0" applyNumberFormat="1" applyFont="1" applyFill="1" applyBorder="1" applyAlignment="1">
      <alignment horizontal="center" vertical="center" wrapText="1"/>
    </xf>
    <xf numFmtId="1" fontId="12" fillId="6" borderId="46" xfId="0" applyNumberFormat="1" applyFont="1" applyFill="1" applyBorder="1" applyAlignment="1">
      <alignment horizontal="center" vertical="center" wrapText="1"/>
    </xf>
    <xf numFmtId="1" fontId="12" fillId="6" borderId="17" xfId="0" applyNumberFormat="1" applyFont="1" applyFill="1" applyBorder="1" applyAlignment="1">
      <alignment horizontal="center" vertical="center" wrapText="1"/>
    </xf>
    <xf numFmtId="1" fontId="12" fillId="6" borderId="0" xfId="0" applyNumberFormat="1" applyFont="1" applyFill="1" applyBorder="1" applyAlignment="1">
      <alignment horizontal="center" vertical="center" wrapText="1"/>
    </xf>
    <xf numFmtId="1" fontId="12" fillId="6" borderId="30" xfId="0" applyNumberFormat="1" applyFont="1" applyFill="1" applyBorder="1" applyAlignment="1">
      <alignment horizontal="center" vertical="center" wrapText="1"/>
    </xf>
    <xf numFmtId="1" fontId="12" fillId="6" borderId="22" xfId="0" applyNumberFormat="1" applyFont="1" applyFill="1" applyBorder="1" applyAlignment="1">
      <alignment horizontal="center" vertical="center" wrapText="1"/>
    </xf>
    <xf numFmtId="1" fontId="12" fillId="6" borderId="23" xfId="0" applyNumberFormat="1" applyFont="1" applyFill="1" applyBorder="1" applyAlignment="1">
      <alignment horizontal="center" vertical="center" wrapText="1"/>
    </xf>
    <xf numFmtId="1" fontId="12" fillId="6" borderId="38" xfId="0" applyNumberFormat="1" applyFont="1" applyFill="1" applyBorder="1" applyAlignment="1">
      <alignment horizontal="center" vertical="center" wrapText="1"/>
    </xf>
    <xf numFmtId="0" fontId="18" fillId="11" borderId="47" xfId="0" applyNumberFormat="1" applyFont="1" applyFill="1" applyBorder="1" applyAlignment="1">
      <alignment horizontal="center" vertical="center" wrapText="1"/>
    </xf>
    <xf numFmtId="0" fontId="18" fillId="11" borderId="39" xfId="0" applyNumberFormat="1" applyFont="1" applyFill="1" applyBorder="1" applyAlignment="1">
      <alignment horizontal="center" vertical="center" wrapText="1"/>
    </xf>
    <xf numFmtId="2" fontId="15" fillId="11" borderId="49" xfId="0" applyNumberFormat="1" applyFont="1" applyFill="1" applyBorder="1" applyAlignment="1">
      <alignment horizontal="center" vertical="center" wrapText="1"/>
    </xf>
    <xf numFmtId="2" fontId="15" fillId="11" borderId="40" xfId="0" applyNumberFormat="1" applyFont="1" applyFill="1" applyBorder="1" applyAlignment="1">
      <alignment horizontal="center" vertical="center" wrapText="1"/>
    </xf>
    <xf numFmtId="166" fontId="15" fillId="13" borderId="49" xfId="0" applyNumberFormat="1" applyFont="1" applyFill="1" applyBorder="1" applyAlignment="1">
      <alignment horizontal="center" vertical="center" wrapText="1"/>
    </xf>
    <xf numFmtId="166" fontId="15" fillId="13" borderId="50" xfId="0" applyNumberFormat="1" applyFont="1" applyFill="1" applyBorder="1" applyAlignment="1">
      <alignment horizontal="center" vertical="center" wrapText="1"/>
    </xf>
    <xf numFmtId="166" fontId="15" fillId="13" borderId="40" xfId="0" applyNumberFormat="1" applyFont="1" applyFill="1" applyBorder="1" applyAlignment="1">
      <alignment horizontal="center" vertical="center" wrapText="1"/>
    </xf>
    <xf numFmtId="0" fontId="16" fillId="13" borderId="47" xfId="0" applyNumberFormat="1" applyFont="1" applyFill="1" applyBorder="1" applyAlignment="1">
      <alignment horizontal="center" vertical="center" wrapText="1"/>
    </xf>
    <xf numFmtId="0" fontId="16" fillId="13" borderId="5" xfId="0" applyNumberFormat="1" applyFont="1" applyFill="1" applyBorder="1" applyAlignment="1">
      <alignment horizontal="center" vertical="center" wrapText="1"/>
    </xf>
    <xf numFmtId="0" fontId="16" fillId="13" borderId="39" xfId="0" applyNumberFormat="1" applyFont="1" applyFill="1" applyBorder="1" applyAlignment="1">
      <alignment horizontal="center" vertical="center" wrapText="1"/>
    </xf>
    <xf numFmtId="0" fontId="16" fillId="6" borderId="47" xfId="0" applyNumberFormat="1" applyFont="1" applyFill="1" applyBorder="1" applyAlignment="1">
      <alignment horizontal="center" vertical="center" wrapText="1"/>
    </xf>
    <xf numFmtId="0" fontId="16" fillId="6" borderId="5" xfId="0" applyNumberFormat="1" applyFont="1" applyFill="1" applyBorder="1" applyAlignment="1">
      <alignment horizontal="center" vertical="center" wrapText="1"/>
    </xf>
    <xf numFmtId="0" fontId="16" fillId="6" borderId="39" xfId="0" applyNumberFormat="1" applyFont="1" applyFill="1" applyBorder="1" applyAlignment="1">
      <alignment horizontal="center" vertical="center" wrapText="1"/>
    </xf>
    <xf numFmtId="0" fontId="15" fillId="6" borderId="49" xfId="0" applyNumberFormat="1" applyFont="1" applyFill="1" applyBorder="1" applyAlignment="1">
      <alignment horizontal="center" vertical="center" wrapText="1"/>
    </xf>
    <xf numFmtId="0" fontId="15" fillId="6" borderId="50" xfId="0" applyNumberFormat="1" applyFont="1" applyFill="1" applyBorder="1" applyAlignment="1">
      <alignment horizontal="center" vertical="center" wrapText="1"/>
    </xf>
    <xf numFmtId="0" fontId="15" fillId="6" borderId="40" xfId="0" applyNumberFormat="1" applyFont="1" applyFill="1" applyBorder="1" applyAlignment="1">
      <alignment horizontal="center" vertical="center" wrapText="1"/>
    </xf>
    <xf numFmtId="1" fontId="8" fillId="5" borderId="51" xfId="2" applyNumberFormat="1" applyFont="1" applyFill="1" applyBorder="1" applyAlignment="1">
      <alignment horizontal="center" vertical="center"/>
    </xf>
    <xf numFmtId="1" fontId="8" fillId="5" borderId="44" xfId="2" applyNumberFormat="1" applyFont="1" applyFill="1" applyBorder="1" applyAlignment="1">
      <alignment horizontal="center" vertical="center"/>
    </xf>
    <xf numFmtId="1" fontId="8" fillId="5" borderId="42" xfId="2" applyNumberFormat="1" applyFont="1" applyFill="1" applyBorder="1" applyAlignment="1">
      <alignment horizontal="center" vertical="center"/>
    </xf>
    <xf numFmtId="1" fontId="11" fillId="14" borderId="51" xfId="2" applyNumberFormat="1" applyFont="1" applyFill="1" applyBorder="1" applyAlignment="1">
      <alignment horizontal="center" vertical="center"/>
    </xf>
    <xf numFmtId="1" fontId="11" fillId="14" borderId="44" xfId="2" applyNumberFormat="1" applyFont="1" applyFill="1" applyBorder="1" applyAlignment="1">
      <alignment horizontal="center" vertical="center"/>
    </xf>
    <xf numFmtId="1" fontId="11" fillId="14" borderId="42" xfId="2" applyNumberFormat="1" applyFont="1" applyFill="1" applyBorder="1" applyAlignment="1">
      <alignment horizontal="center" vertical="center"/>
    </xf>
    <xf numFmtId="1" fontId="8" fillId="11" borderId="9" xfId="2" applyNumberFormat="1" applyFont="1" applyFill="1" applyBorder="1" applyAlignment="1">
      <alignment horizontal="center" vertical="center"/>
    </xf>
    <xf numFmtId="1" fontId="8" fillId="11" borderId="10" xfId="2" applyNumberFormat="1" applyFont="1" applyFill="1" applyBorder="1" applyAlignment="1">
      <alignment horizontal="center" vertical="center"/>
    </xf>
    <xf numFmtId="1" fontId="8" fillId="11" borderId="46" xfId="2" applyNumberFormat="1" applyFont="1" applyFill="1" applyBorder="1" applyAlignment="1">
      <alignment horizontal="center" vertical="center"/>
    </xf>
    <xf numFmtId="1" fontId="8" fillId="11" borderId="22" xfId="2" applyNumberFormat="1" applyFont="1" applyFill="1" applyBorder="1" applyAlignment="1">
      <alignment horizontal="center" vertical="center"/>
    </xf>
    <xf numFmtId="1" fontId="8" fillId="11" borderId="23" xfId="2" applyNumberFormat="1" applyFont="1" applyFill="1" applyBorder="1" applyAlignment="1">
      <alignment horizontal="center" vertical="center"/>
    </xf>
    <xf numFmtId="1" fontId="8" fillId="11" borderId="38" xfId="2" applyNumberFormat="1" applyFont="1" applyFill="1" applyBorder="1" applyAlignment="1">
      <alignment horizontal="center" vertical="center"/>
    </xf>
    <xf numFmtId="1" fontId="15" fillId="11" borderId="47" xfId="0" applyNumberFormat="1" applyFont="1" applyFill="1" applyBorder="1" applyAlignment="1">
      <alignment horizontal="center" vertical="center" wrapText="1"/>
    </xf>
    <xf numFmtId="1" fontId="15" fillId="11" borderId="39" xfId="0" applyNumberFormat="1" applyFont="1" applyFill="1" applyBorder="1" applyAlignment="1">
      <alignment horizontal="center" vertical="center" wrapText="1"/>
    </xf>
    <xf numFmtId="1" fontId="15" fillId="11" borderId="48" xfId="0" applyNumberFormat="1" applyFont="1" applyFill="1" applyBorder="1" applyAlignment="1">
      <alignment horizontal="center" vertical="center" wrapText="1"/>
    </xf>
    <xf numFmtId="1" fontId="15" fillId="11" borderId="10" xfId="0" applyNumberFormat="1" applyFont="1" applyFill="1" applyBorder="1" applyAlignment="1">
      <alignment horizontal="center" vertical="center" wrapText="1"/>
    </xf>
    <xf numFmtId="1" fontId="15" fillId="11" borderId="46" xfId="0" applyNumberFormat="1" applyFont="1" applyFill="1" applyBorder="1" applyAlignment="1">
      <alignment horizontal="center" vertical="center" wrapText="1"/>
    </xf>
    <xf numFmtId="1" fontId="15" fillId="11" borderId="37" xfId="0" applyNumberFormat="1" applyFont="1" applyFill="1" applyBorder="1" applyAlignment="1">
      <alignment horizontal="center" vertical="center" wrapText="1"/>
    </xf>
    <xf numFmtId="1" fontId="15" fillId="11" borderId="23" xfId="0" applyNumberFormat="1" applyFont="1" applyFill="1" applyBorder="1" applyAlignment="1">
      <alignment horizontal="center" vertical="center" wrapText="1"/>
    </xf>
    <xf numFmtId="1" fontId="15" fillId="11" borderId="38" xfId="0" applyNumberFormat="1" applyFont="1" applyFill="1" applyBorder="1" applyAlignment="1">
      <alignment horizontal="center" vertical="center" wrapText="1"/>
    </xf>
    <xf numFmtId="1" fontId="8" fillId="13" borderId="9" xfId="2" applyNumberFormat="1" applyFont="1" applyFill="1" applyBorder="1" applyAlignment="1">
      <alignment horizontal="center" vertical="center"/>
    </xf>
    <xf numFmtId="1" fontId="8" fillId="13" borderId="10" xfId="2" applyNumberFormat="1" applyFont="1" applyFill="1" applyBorder="1" applyAlignment="1">
      <alignment horizontal="center" vertical="center"/>
    </xf>
    <xf numFmtId="1" fontId="8" fillId="13" borderId="46" xfId="2" applyNumberFormat="1" applyFont="1" applyFill="1" applyBorder="1" applyAlignment="1">
      <alignment horizontal="center" vertical="center"/>
    </xf>
    <xf numFmtId="1" fontId="8" fillId="13" borderId="17" xfId="2" applyNumberFormat="1" applyFont="1" applyFill="1" applyBorder="1" applyAlignment="1">
      <alignment horizontal="center" vertical="center"/>
    </xf>
    <xf numFmtId="1" fontId="8" fillId="13" borderId="0" xfId="2" applyNumberFormat="1" applyFont="1" applyFill="1" applyBorder="1" applyAlignment="1">
      <alignment horizontal="center" vertical="center"/>
    </xf>
    <xf numFmtId="1" fontId="8" fillId="13" borderId="30" xfId="2" applyNumberFormat="1" applyFont="1" applyFill="1" applyBorder="1" applyAlignment="1">
      <alignment horizontal="center" vertical="center"/>
    </xf>
    <xf numFmtId="1" fontId="8" fillId="13" borderId="22" xfId="2" applyNumberFormat="1" applyFont="1" applyFill="1" applyBorder="1" applyAlignment="1">
      <alignment horizontal="center" vertical="center"/>
    </xf>
    <xf numFmtId="1" fontId="8" fillId="13" borderId="23" xfId="2" applyNumberFormat="1" applyFont="1" applyFill="1" applyBorder="1" applyAlignment="1">
      <alignment horizontal="center" vertical="center"/>
    </xf>
    <xf numFmtId="1" fontId="8" fillId="13" borderId="38" xfId="2" applyNumberFormat="1" applyFont="1" applyFill="1" applyBorder="1" applyAlignment="1">
      <alignment horizontal="center" vertical="center"/>
    </xf>
    <xf numFmtId="0" fontId="60" fillId="0" borderId="2" xfId="6" applyFont="1" applyBorder="1" applyAlignment="1">
      <alignment horizontal="left" vertical="center" wrapText="1"/>
    </xf>
    <xf numFmtId="0" fontId="60" fillId="0" borderId="2" xfId="6" applyFont="1" applyBorder="1" applyAlignment="1">
      <alignment horizontal="center" vertical="center" wrapText="1"/>
    </xf>
    <xf numFmtId="0" fontId="60" fillId="0" borderId="2" xfId="6" applyFont="1" applyBorder="1" applyAlignment="1">
      <alignment horizontal="center" vertical="center"/>
    </xf>
    <xf numFmtId="0" fontId="60" fillId="0" borderId="3" xfId="6" applyFont="1" applyBorder="1" applyAlignment="1">
      <alignment horizontal="center" vertical="center" wrapText="1"/>
    </xf>
    <xf numFmtId="0" fontId="60" fillId="0" borderId="6" xfId="6" applyFont="1" applyBorder="1" applyAlignment="1">
      <alignment horizontal="center" vertical="center" wrapText="1"/>
    </xf>
    <xf numFmtId="0" fontId="59" fillId="0" borderId="19" xfId="6" applyFont="1" applyBorder="1" applyAlignment="1">
      <alignment horizontal="center" vertical="center"/>
    </xf>
    <xf numFmtId="0" fontId="59" fillId="0" borderId="20" xfId="6" applyFont="1" applyBorder="1" applyAlignment="1">
      <alignment horizontal="center" vertical="center"/>
    </xf>
    <xf numFmtId="0" fontId="59" fillId="0" borderId="7" xfId="6" applyFont="1" applyBorder="1" applyAlignment="1">
      <alignment horizontal="center" vertical="center"/>
    </xf>
    <xf numFmtId="0" fontId="59" fillId="0" borderId="2" xfId="6" applyFont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2" xfId="2" applyNumberFormat="1" applyFont="1" applyFill="1" applyBorder="1" applyAlignment="1">
      <alignment horizontal="center" vertical="center" wrapText="1"/>
    </xf>
    <xf numFmtId="165" fontId="11" fillId="0" borderId="2" xfId="2" applyNumberFormat="1" applyFont="1" applyFill="1" applyBorder="1" applyAlignment="1">
      <alignment horizontal="center" vertical="center"/>
    </xf>
    <xf numFmtId="1" fontId="13" fillId="0" borderId="51" xfId="2" applyNumberFormat="1" applyFont="1" applyFill="1" applyBorder="1" applyAlignment="1">
      <alignment horizontal="center" vertical="center"/>
    </xf>
    <xf numFmtId="1" fontId="13" fillId="0" borderId="42" xfId="2" applyNumberFormat="1" applyFont="1" applyFill="1" applyBorder="1" applyAlignment="1">
      <alignment horizontal="center" vertical="center"/>
    </xf>
    <xf numFmtId="165" fontId="46" fillId="10" borderId="2" xfId="2" applyNumberFormat="1" applyFont="1" applyFill="1" applyBorder="1" applyAlignment="1">
      <alignment horizontal="center" vertical="center" wrapText="1"/>
    </xf>
    <xf numFmtId="1" fontId="12" fillId="10" borderId="2" xfId="0" applyNumberFormat="1" applyFont="1" applyFill="1" applyBorder="1" applyAlignment="1">
      <alignment horizontal="center" vertical="center" wrapText="1"/>
    </xf>
    <xf numFmtId="0" fontId="13" fillId="3" borderId="0" xfId="2" applyFont="1" applyFill="1" applyAlignment="1">
      <alignment horizontal="right" vertical="top" wrapText="1"/>
    </xf>
    <xf numFmtId="0" fontId="4" fillId="3" borderId="0" xfId="2" applyFont="1" applyFill="1" applyAlignment="1">
      <alignment horizontal="center" vertical="top" wrapText="1"/>
    </xf>
    <xf numFmtId="165" fontId="11" fillId="3" borderId="2" xfId="2" applyNumberFormat="1" applyFont="1" applyFill="1" applyBorder="1" applyAlignment="1">
      <alignment horizontal="center" vertical="center" wrapText="1"/>
    </xf>
    <xf numFmtId="165" fontId="11" fillId="3" borderId="2" xfId="2" applyNumberFormat="1" applyFont="1" applyFill="1" applyBorder="1" applyAlignment="1">
      <alignment horizontal="center" vertical="center"/>
    </xf>
    <xf numFmtId="165" fontId="11" fillId="0" borderId="2" xfId="2" applyNumberFormat="1" applyFont="1" applyFill="1" applyBorder="1" applyAlignment="1">
      <alignment horizontal="center" vertical="center" textRotation="90" wrapText="1"/>
    </xf>
    <xf numFmtId="165" fontId="11" fillId="0" borderId="2" xfId="2" applyNumberFormat="1" applyFont="1" applyFill="1" applyBorder="1" applyAlignment="1">
      <alignment horizontal="center" vertical="center" textRotation="90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center" vertical="center" wrapText="1"/>
    </xf>
    <xf numFmtId="4" fontId="79" fillId="0" borderId="15" xfId="6" applyNumberFormat="1" applyFont="1" applyFill="1" applyBorder="1" applyAlignment="1">
      <alignment horizontal="center" vertical="center"/>
    </xf>
    <xf numFmtId="0" fontId="79" fillId="0" borderId="28" xfId="6" applyFont="1" applyFill="1" applyBorder="1" applyAlignment="1">
      <alignment horizontal="center" vertical="center"/>
    </xf>
    <xf numFmtId="166" fontId="78" fillId="0" borderId="15" xfId="6" applyNumberFormat="1" applyFont="1" applyFill="1" applyBorder="1" applyAlignment="1">
      <alignment horizontal="center" vertical="center"/>
    </xf>
    <xf numFmtId="166" fontId="78" fillId="0" borderId="28" xfId="6" applyNumberFormat="1" applyFont="1" applyFill="1" applyBorder="1" applyAlignment="1">
      <alignment horizontal="center" vertical="center"/>
    </xf>
    <xf numFmtId="166" fontId="58" fillId="0" borderId="15" xfId="6" applyNumberFormat="1" applyFont="1" applyFill="1" applyBorder="1" applyAlignment="1">
      <alignment horizontal="center" vertical="center"/>
    </xf>
    <xf numFmtId="166" fontId="58" fillId="0" borderId="28" xfId="6" applyNumberFormat="1" applyFont="1" applyFill="1" applyBorder="1" applyAlignment="1">
      <alignment horizontal="center" vertical="center"/>
    </xf>
    <xf numFmtId="170" fontId="71" fillId="0" borderId="32" xfId="7" applyNumberFormat="1" applyFont="1" applyFill="1" applyBorder="1" applyAlignment="1">
      <alignment horizontal="center" vertical="center" wrapText="1"/>
    </xf>
    <xf numFmtId="170" fontId="71" fillId="0" borderId="31" xfId="7" applyNumberFormat="1" applyFont="1" applyFill="1" applyBorder="1" applyAlignment="1">
      <alignment horizontal="center" vertical="center" wrapText="1"/>
    </xf>
    <xf numFmtId="170" fontId="71" fillId="0" borderId="19" xfId="7" applyNumberFormat="1" applyFont="1" applyFill="1" applyBorder="1" applyAlignment="1">
      <alignment horizontal="center" vertical="center" wrapText="1"/>
    </xf>
    <xf numFmtId="170" fontId="71" fillId="0" borderId="7" xfId="7" applyNumberFormat="1" applyFont="1" applyFill="1" applyBorder="1" applyAlignment="1">
      <alignment horizontal="center" vertical="center" wrapText="1"/>
    </xf>
    <xf numFmtId="170" fontId="71" fillId="0" borderId="33" xfId="7" applyNumberFormat="1" applyFont="1" applyFill="1" applyBorder="1" applyAlignment="1">
      <alignment horizontal="center" vertical="center" wrapText="1"/>
    </xf>
    <xf numFmtId="170" fontId="71" fillId="0" borderId="4" xfId="7" applyNumberFormat="1" applyFont="1" applyFill="1" applyBorder="1" applyAlignment="1">
      <alignment horizontal="center" vertical="center" wrapText="1"/>
    </xf>
    <xf numFmtId="0" fontId="58" fillId="0" borderId="53" xfId="6" applyFont="1" applyFill="1" applyBorder="1" applyAlignment="1">
      <alignment horizontal="center" vertical="center" wrapText="1"/>
    </xf>
    <xf numFmtId="0" fontId="58" fillId="0" borderId="56" xfId="6" applyFont="1" applyFill="1" applyBorder="1" applyAlignment="1">
      <alignment horizontal="center" vertical="center" wrapText="1"/>
    </xf>
    <xf numFmtId="0" fontId="58" fillId="0" borderId="15" xfId="6" applyFont="1" applyFill="1" applyBorder="1" applyAlignment="1">
      <alignment horizontal="center" vertical="center"/>
    </xf>
    <xf numFmtId="0" fontId="58" fillId="0" borderId="28" xfId="6" applyFont="1" applyFill="1" applyBorder="1" applyAlignment="1">
      <alignment horizontal="center" vertical="center"/>
    </xf>
    <xf numFmtId="0" fontId="17" fillId="0" borderId="15" xfId="6" applyFont="1" applyFill="1" applyBorder="1" applyAlignment="1">
      <alignment horizontal="center" vertical="center"/>
    </xf>
    <xf numFmtId="0" fontId="17" fillId="0" borderId="28" xfId="6" applyFont="1" applyFill="1" applyBorder="1" applyAlignment="1">
      <alignment horizontal="center" vertical="center"/>
    </xf>
    <xf numFmtId="2" fontId="78" fillId="0" borderId="15" xfId="7" applyNumberFormat="1" applyFont="1" applyFill="1" applyBorder="1" applyAlignment="1">
      <alignment horizontal="center" vertical="center" wrapText="1"/>
    </xf>
    <xf numFmtId="2" fontId="78" fillId="0" borderId="28" xfId="7" applyNumberFormat="1" applyFont="1" applyFill="1" applyBorder="1" applyAlignment="1">
      <alignment horizontal="center" vertical="center" wrapText="1"/>
    </xf>
    <xf numFmtId="0" fontId="58" fillId="0" borderId="34" xfId="6" applyFont="1" applyFill="1" applyBorder="1" applyAlignment="1">
      <alignment horizontal="center" vertical="center"/>
    </xf>
    <xf numFmtId="0" fontId="58" fillId="0" borderId="35" xfId="6" applyFont="1" applyFill="1" applyBorder="1" applyAlignment="1">
      <alignment horizontal="center" vertical="center"/>
    </xf>
    <xf numFmtId="0" fontId="58" fillId="0" borderId="55" xfId="6" applyFont="1" applyFill="1" applyBorder="1" applyAlignment="1">
      <alignment horizontal="center" vertical="center"/>
    </xf>
    <xf numFmtId="49" fontId="58" fillId="0" borderId="2" xfId="6" applyNumberFormat="1" applyFont="1" applyFill="1" applyBorder="1" applyAlignment="1">
      <alignment horizontal="center" vertical="center" wrapText="1"/>
    </xf>
    <xf numFmtId="49" fontId="58" fillId="0" borderId="3" xfId="6" applyNumberFormat="1" applyFont="1" applyFill="1" applyBorder="1" applyAlignment="1">
      <alignment horizontal="center" vertical="center" wrapText="1"/>
    </xf>
    <xf numFmtId="0" fontId="74" fillId="0" borderId="3" xfId="6" applyFont="1" applyFill="1" applyBorder="1"/>
    <xf numFmtId="49" fontId="70" fillId="0" borderId="2" xfId="6" applyNumberFormat="1" applyFont="1" applyFill="1" applyBorder="1" applyAlignment="1">
      <alignment horizontal="center" vertical="center" wrapText="1"/>
    </xf>
    <xf numFmtId="49" fontId="70" fillId="0" borderId="3" xfId="6" applyNumberFormat="1" applyFont="1" applyFill="1" applyBorder="1" applyAlignment="1">
      <alignment horizontal="center" vertical="center" wrapText="1"/>
    </xf>
    <xf numFmtId="3" fontId="70" fillId="0" borderId="15" xfId="6" applyNumberFormat="1" applyFont="1" applyFill="1" applyBorder="1" applyAlignment="1">
      <alignment horizontal="center" vertical="center" wrapText="1"/>
    </xf>
    <xf numFmtId="49" fontId="58" fillId="0" borderId="15" xfId="6" applyNumberFormat="1" applyFont="1" applyFill="1" applyBorder="1" applyAlignment="1">
      <alignment horizontal="center" vertical="center" wrapText="1"/>
    </xf>
    <xf numFmtId="0" fontId="58" fillId="0" borderId="15" xfId="6" applyFont="1" applyFill="1" applyBorder="1" applyAlignment="1">
      <alignment horizontal="center" vertical="center" wrapText="1"/>
    </xf>
    <xf numFmtId="0" fontId="58" fillId="0" borderId="2" xfId="6" applyFont="1" applyFill="1" applyBorder="1" applyAlignment="1">
      <alignment horizontal="center" vertical="center" wrapText="1"/>
    </xf>
    <xf numFmtId="0" fontId="58" fillId="0" borderId="3" xfId="6" applyFont="1" applyFill="1" applyBorder="1" applyAlignment="1">
      <alignment horizontal="center" vertical="center" wrapText="1"/>
    </xf>
    <xf numFmtId="3" fontId="70" fillId="0" borderId="2" xfId="6" applyNumberFormat="1" applyFont="1" applyFill="1" applyBorder="1" applyAlignment="1">
      <alignment horizontal="center" vertical="center" wrapText="1"/>
    </xf>
    <xf numFmtId="3" fontId="70" fillId="0" borderId="3" xfId="6" applyNumberFormat="1" applyFont="1" applyFill="1" applyBorder="1" applyAlignment="1">
      <alignment horizontal="center" vertical="center" wrapText="1"/>
    </xf>
    <xf numFmtId="49" fontId="65" fillId="0" borderId="15" xfId="6" applyNumberFormat="1" applyFont="1" applyFill="1" applyBorder="1" applyAlignment="1">
      <alignment horizontal="center" vertical="center" wrapText="1"/>
    </xf>
    <xf numFmtId="0" fontId="20" fillId="0" borderId="0" xfId="6" applyFont="1" applyFill="1" applyBorder="1" applyAlignment="1">
      <alignment horizontal="right"/>
    </xf>
    <xf numFmtId="0" fontId="66" fillId="0" borderId="0" xfId="6" applyFont="1" applyFill="1" applyBorder="1" applyAlignment="1">
      <alignment horizontal="center" vertical="center" wrapText="1"/>
    </xf>
    <xf numFmtId="0" fontId="69" fillId="0" borderId="53" xfId="6" applyFont="1" applyFill="1" applyBorder="1" applyAlignment="1">
      <alignment horizontal="center" vertical="center" wrapText="1"/>
    </xf>
    <xf numFmtId="0" fontId="69" fillId="0" borderId="54" xfId="6" applyFont="1" applyFill="1" applyBorder="1" applyAlignment="1">
      <alignment horizontal="center" vertical="center" wrapText="1"/>
    </xf>
    <xf numFmtId="0" fontId="69" fillId="0" borderId="57" xfId="6" applyFont="1" applyFill="1" applyBorder="1" applyAlignment="1">
      <alignment horizontal="center" vertical="center" wrapText="1"/>
    </xf>
    <xf numFmtId="0" fontId="69" fillId="0" borderId="15" xfId="6" applyFont="1" applyFill="1" applyBorder="1" applyAlignment="1">
      <alignment horizontal="center" vertical="center" wrapText="1"/>
    </xf>
    <xf numFmtId="0" fontId="69" fillId="0" borderId="2" xfId="6" applyFont="1" applyFill="1" applyBorder="1" applyAlignment="1">
      <alignment horizontal="center" vertical="center" wrapText="1"/>
    </xf>
    <xf numFmtId="0" fontId="69" fillId="0" borderId="3" xfId="6" applyFont="1" applyFill="1" applyBorder="1" applyAlignment="1">
      <alignment horizontal="center" vertical="center" wrapText="1"/>
    </xf>
    <xf numFmtId="0" fontId="70" fillId="0" borderId="15" xfId="6" applyFont="1" applyFill="1" applyBorder="1" applyAlignment="1">
      <alignment horizontal="center" vertical="center" wrapText="1"/>
    </xf>
    <xf numFmtId="0" fontId="70" fillId="0" borderId="2" xfId="6" applyFont="1" applyFill="1" applyBorder="1" applyAlignment="1">
      <alignment horizontal="center" vertical="center"/>
    </xf>
    <xf numFmtId="0" fontId="70" fillId="0" borderId="3" xfId="6" applyFont="1" applyFill="1" applyBorder="1" applyAlignment="1">
      <alignment horizontal="center" vertical="center"/>
    </xf>
    <xf numFmtId="0" fontId="70" fillId="0" borderId="2" xfId="6" applyFont="1" applyFill="1" applyBorder="1" applyAlignment="1">
      <alignment horizontal="center" vertical="center" wrapText="1"/>
    </xf>
    <xf numFmtId="0" fontId="70" fillId="0" borderId="3" xfId="6" applyFont="1" applyFill="1" applyBorder="1" applyAlignment="1">
      <alignment horizontal="center" vertical="center" wrapText="1"/>
    </xf>
    <xf numFmtId="49" fontId="58" fillId="0" borderId="47" xfId="6" applyNumberFormat="1" applyFont="1" applyFill="1" applyBorder="1" applyAlignment="1">
      <alignment horizontal="center" vertical="center"/>
    </xf>
    <xf numFmtId="49" fontId="58" fillId="0" borderId="39" xfId="6" applyNumberFormat="1" applyFont="1" applyFill="1" applyBorder="1" applyAlignment="1">
      <alignment horizontal="center" vertical="center"/>
    </xf>
    <xf numFmtId="49" fontId="58" fillId="0" borderId="47" xfId="6" applyNumberFormat="1" applyFont="1" applyFill="1" applyBorder="1" applyAlignment="1">
      <alignment horizontal="center" vertical="center" wrapText="1"/>
    </xf>
    <xf numFmtId="49" fontId="58" fillId="0" borderId="39" xfId="6" applyNumberFormat="1" applyFont="1" applyFill="1" applyBorder="1" applyAlignment="1">
      <alignment horizontal="center" vertical="center" wrapText="1"/>
    </xf>
    <xf numFmtId="0" fontId="58" fillId="0" borderId="49" xfId="6" applyFont="1" applyFill="1" applyBorder="1" applyAlignment="1">
      <alignment horizontal="center"/>
    </xf>
    <xf numFmtId="0" fontId="58" fillId="0" borderId="40" xfId="6" applyFont="1" applyFill="1" applyBorder="1" applyAlignment="1">
      <alignment horizontal="center"/>
    </xf>
    <xf numFmtId="0" fontId="0" fillId="2" borderId="0" xfId="0" applyFill="1"/>
    <xf numFmtId="165" fontId="10" fillId="8" borderId="19" xfId="2" applyNumberFormat="1" applyFont="1" applyFill="1" applyBorder="1" applyAlignment="1">
      <alignment horizontal="center" vertical="center" wrapText="1"/>
    </xf>
    <xf numFmtId="165" fontId="10" fillId="8" borderId="20" xfId="2" applyNumberFormat="1" applyFont="1" applyFill="1" applyBorder="1" applyAlignment="1">
      <alignment horizontal="center" vertical="center" wrapText="1"/>
    </xf>
    <xf numFmtId="165" fontId="10" fillId="8" borderId="7" xfId="2" applyNumberFormat="1" applyFont="1" applyFill="1" applyBorder="1" applyAlignment="1">
      <alignment horizontal="center" vertical="center" wrapText="1"/>
    </xf>
    <xf numFmtId="165" fontId="8" fillId="8" borderId="2" xfId="2" applyNumberFormat="1" applyFont="1" applyFill="1" applyBorder="1" applyAlignment="1">
      <alignment horizontal="center" vertical="center" wrapText="1"/>
    </xf>
    <xf numFmtId="166" fontId="8" fillId="2" borderId="2" xfId="2" applyNumberFormat="1" applyFont="1" applyFill="1" applyBorder="1" applyAlignment="1">
      <alignment horizontal="center" vertical="center"/>
    </xf>
    <xf numFmtId="166" fontId="61" fillId="2" borderId="2" xfId="2" applyNumberFormat="1" applyFont="1" applyFill="1" applyBorder="1" applyAlignment="1">
      <alignment horizontal="center" vertical="center"/>
    </xf>
    <xf numFmtId="166" fontId="81" fillId="2" borderId="2" xfId="0" applyNumberFormat="1" applyFont="1" applyFill="1" applyBorder="1" applyAlignment="1">
      <alignment horizontal="center" vertical="center"/>
    </xf>
    <xf numFmtId="0" fontId="8" fillId="8" borderId="2" xfId="2" applyNumberFormat="1" applyFont="1" applyFill="1" applyBorder="1" applyAlignment="1">
      <alignment horizontal="center" vertical="center" wrapText="1"/>
    </xf>
    <xf numFmtId="14" fontId="8" fillId="8" borderId="2" xfId="2" applyNumberFormat="1" applyFont="1" applyFill="1" applyBorder="1" applyAlignment="1">
      <alignment horizontal="center" vertical="center" wrapText="1"/>
    </xf>
    <xf numFmtId="166" fontId="8" fillId="8" borderId="2" xfId="2" applyNumberFormat="1" applyFont="1" applyFill="1" applyBorder="1" applyAlignment="1">
      <alignment horizontal="center" vertical="center"/>
    </xf>
    <xf numFmtId="166" fontId="8" fillId="8" borderId="2" xfId="2" applyNumberFormat="1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80" fillId="0" borderId="0" xfId="6" applyFont="1" applyBorder="1" applyAlignment="1">
      <alignment horizontal="center" vertical="center"/>
    </xf>
    <xf numFmtId="0" fontId="63" fillId="0" borderId="0" xfId="6" applyFont="1" applyBorder="1" applyAlignment="1">
      <alignment horizontal="center" vertical="center"/>
    </xf>
    <xf numFmtId="0" fontId="63" fillId="0" borderId="0" xfId="6" applyFont="1" applyBorder="1" applyAlignment="1">
      <alignment horizontal="center" vertical="top"/>
    </xf>
    <xf numFmtId="0" fontId="80" fillId="0" borderId="0" xfId="6" applyFont="1" applyBorder="1" applyAlignment="1">
      <alignment horizontal="center" vertical="top" wrapText="1"/>
    </xf>
    <xf numFmtId="0" fontId="64" fillId="0" borderId="2" xfId="6" applyFont="1" applyBorder="1" applyAlignment="1">
      <alignment horizontal="right"/>
    </xf>
  </cellXfs>
  <cellStyles count="15">
    <cellStyle name="Обычный" xfId="0" builtinId="0"/>
    <cellStyle name="Обычный 2" xfId="6"/>
    <cellStyle name="Обычный 3" xfId="8"/>
    <cellStyle name="Обычный 3 2" xfId="5"/>
    <cellStyle name="Обычный 3 3" xfId="10"/>
    <cellStyle name="Обычный 3 4" xfId="11"/>
    <cellStyle name="Обычный 4" xfId="9"/>
    <cellStyle name="Обычный 4 2" xfId="12"/>
    <cellStyle name="Обычный 5" xfId="4"/>
    <cellStyle name="Обычный_Информация тек 2005" xfId="3"/>
    <cellStyle name="Обычный_Лист2 (2)" xfId="7"/>
    <cellStyle name="Обычный_формы рем. 2004" xfId="2"/>
    <cellStyle name="Финансовый" xfId="1" builtinId="3"/>
    <cellStyle name="Финансовый 2" xfId="13"/>
    <cellStyle name="Финансовый 3" xfId="14"/>
  </cellStyles>
  <dxfs count="0"/>
  <tableStyles count="0" defaultTableStyle="TableStyleMedium2" defaultPivotStyle="PivotStyleLight16"/>
  <colors>
    <mruColors>
      <color rgb="FFFF6600"/>
      <color rgb="FFFF7C80"/>
      <color rgb="FFFF99FF"/>
      <color rgb="FF66FF99"/>
      <color rgb="FF00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54;&#1090;&#1076;&#1077;&#1083;%20&#1088;&#1077;&#1084;&#1086;&#1085;&#1090;&#1072;\&#1054;&#1073;&#1084;&#1077;&#1085;\&#1058;&#1088;&#1091;&#1096;&#1082;&#1080;&#1085;\&#1052;&#1103;&#1095;&#1080;&#1085;\&#1055;&#1088;&#1086;&#1075;&#1088;&#1072;&#1084;&#1084;&#1072;%2019-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k1115\&#1055;&#1040;&#1055;&#1050;&#1040;%20&#1054;&#1041;&#1052;&#1045;&#1053;&#1040;\Applications\Microsoft%20Excel.app\D:\&#1056;&#1072;&#1073;&#1086;&#1095;&#1072;&#1103;%20&#1087;&#1072;&#1087;&#1082;&#1072;%20&#1058;&#1088;&#1091;&#1096;&#1082;&#1080;&#1085;&#1072;%20&#1057;%20&#1053;\&#1055;&#1083;&#1072;&#1085;&#1099;\2018%20&#1075;&#1086;&#1076;\&#1055;&#1088;&#1086;&#1075;&#1088;&#1072;&#1084;&#1084;&#1072;%20&#1088;&#1072;&#1073;&#1086;&#1090;%202018-2020%20&#1075;&#1086;&#1076;&#1099;\&#1055;&#1088;&#1086;&#1075;&#1088;&#1072;&#1084;&#1084;&#1072;%20&#1088;&#1072;&#1073;&#1086;&#1090;%20&#1087;&#1086;%20&#1082;&#1072;&#1087;&#1080;&#1090;&#1072;&#1083;&#1100;&#1085;&#1086;&#1084;&#1091;%20&#1088;&#1077;&#1084;&#1086;&#1085;&#1090;&#1091;%20&#1080;%20&#1088;&#1077;&#1084;&#1086;&#1085;&#1090;&#1091;%20&#1085;&#1072;%202019-2021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19 -2021 ФКУ Каспий "/>
    </sheetNames>
    <sheetDataSet>
      <sheetData sheetId="0">
        <row r="152">
          <cell r="G152" t="str">
            <v xml:space="preserve">2016 г.  Сларисил </v>
          </cell>
          <cell r="H152" t="str">
            <v>4 года/2020</v>
          </cell>
          <cell r="I152" t="str">
            <v>ПИР 2020</v>
          </cell>
          <cell r="J152" t="str">
            <v>III</v>
          </cell>
          <cell r="K152">
            <v>2431</v>
          </cell>
          <cell r="L152">
            <v>225</v>
          </cell>
          <cell r="M152">
            <v>2</v>
          </cell>
          <cell r="N152">
            <v>12</v>
          </cell>
          <cell r="O152">
            <v>2021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EX372"/>
  <sheetViews>
    <sheetView view="pageBreakPreview" zoomScale="55" zoomScaleNormal="55" zoomScaleSheetLayoutView="55" zoomScalePageLayoutView="55" workbookViewId="0">
      <pane ySplit="5" topLeftCell="A220" activePane="bottomLeft" state="frozen"/>
      <selection pane="bottomLeft" activeCell="R223" sqref="R223"/>
    </sheetView>
  </sheetViews>
  <sheetFormatPr defaultColWidth="9.28515625" defaultRowHeight="12.75" x14ac:dyDescent="0.2"/>
  <cols>
    <col min="1" max="1" width="6.85546875" style="306" customWidth="1"/>
    <col min="2" max="2" width="62.42578125" style="307" customWidth="1"/>
    <col min="3" max="3" width="23" style="307" customWidth="1"/>
    <col min="4" max="4" width="22.7109375" style="307" customWidth="1"/>
    <col min="5" max="5" width="29.7109375" style="307" customWidth="1"/>
    <col min="6" max="6" width="12.7109375" style="307" customWidth="1"/>
    <col min="7" max="7" width="11.42578125" style="307" customWidth="1"/>
    <col min="8" max="8" width="12.42578125" style="307" customWidth="1"/>
    <col min="9" max="9" width="9.42578125" style="307" customWidth="1"/>
    <col min="10" max="10" width="11.7109375" style="307" customWidth="1"/>
    <col min="11" max="11" width="14.140625" style="307" customWidth="1"/>
    <col min="12" max="12" width="15.42578125" style="307" customWidth="1"/>
    <col min="13" max="13" width="20.42578125" style="307" customWidth="1"/>
    <col min="14" max="14" width="16.28515625" style="307" customWidth="1"/>
    <col min="15" max="15" width="19.42578125" style="307" customWidth="1"/>
    <col min="16" max="16" width="16.28515625" style="307" customWidth="1"/>
    <col min="17" max="17" width="21.85546875" style="307" customWidth="1"/>
    <col min="18" max="18" width="23.28515625" style="307" customWidth="1"/>
    <col min="19" max="19" width="20.42578125" style="308" customWidth="1"/>
    <col min="20" max="20" width="22.28515625" style="308" customWidth="1"/>
    <col min="21" max="21" width="27.42578125" style="281" customWidth="1"/>
    <col min="22" max="16384" width="9.28515625" style="281"/>
  </cols>
  <sheetData>
    <row r="1" spans="1:21" s="1" customFormat="1" ht="42.75" customHeight="1" x14ac:dyDescent="0.2">
      <c r="A1" s="858" t="s">
        <v>348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  <c r="O1" s="858"/>
      <c r="P1" s="858"/>
      <c r="Q1" s="858"/>
      <c r="R1" s="858"/>
      <c r="S1" s="858"/>
      <c r="T1" s="858"/>
    </row>
    <row r="2" spans="1:21" s="1" customFormat="1" ht="16.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4"/>
    </row>
    <row r="3" spans="1:21" s="1" customFormat="1" ht="16.899999999999999" customHeight="1" x14ac:dyDescent="0.2">
      <c r="A3" s="878" t="s">
        <v>0</v>
      </c>
      <c r="B3" s="912" t="s">
        <v>1</v>
      </c>
      <c r="C3" s="878" t="s">
        <v>2</v>
      </c>
      <c r="D3" s="878" t="s">
        <v>3</v>
      </c>
      <c r="E3" s="878" t="s">
        <v>4</v>
      </c>
      <c r="F3" s="875" t="s">
        <v>5</v>
      </c>
      <c r="G3" s="875" t="s">
        <v>6</v>
      </c>
      <c r="H3" s="875" t="s">
        <v>7</v>
      </c>
      <c r="I3" s="875" t="s">
        <v>8</v>
      </c>
      <c r="J3" s="880" t="s">
        <v>9</v>
      </c>
      <c r="K3" s="878" t="s">
        <v>10</v>
      </c>
      <c r="L3" s="868" t="s">
        <v>11</v>
      </c>
      <c r="M3" s="868"/>
      <c r="N3" s="868" t="s">
        <v>12</v>
      </c>
      <c r="O3" s="868"/>
      <c r="P3" s="868" t="s">
        <v>13</v>
      </c>
      <c r="Q3" s="868"/>
      <c r="R3" s="883" t="s">
        <v>14</v>
      </c>
      <c r="S3" s="877" t="s">
        <v>15</v>
      </c>
      <c r="T3" s="878" t="s">
        <v>16</v>
      </c>
    </row>
    <row r="4" spans="1:21" s="1" customFormat="1" ht="87.6" customHeight="1" x14ac:dyDescent="0.2">
      <c r="A4" s="879"/>
      <c r="B4" s="913"/>
      <c r="C4" s="878"/>
      <c r="D4" s="878"/>
      <c r="E4" s="879"/>
      <c r="F4" s="876"/>
      <c r="G4" s="876"/>
      <c r="H4" s="876"/>
      <c r="I4" s="876"/>
      <c r="J4" s="881"/>
      <c r="K4" s="879"/>
      <c r="L4" s="868"/>
      <c r="M4" s="868"/>
      <c r="N4" s="868"/>
      <c r="O4" s="868"/>
      <c r="P4" s="868"/>
      <c r="Q4" s="868"/>
      <c r="R4" s="884"/>
      <c r="S4" s="877"/>
      <c r="T4" s="879"/>
    </row>
    <row r="5" spans="1:21" s="1" customFormat="1" ht="46.5" customHeight="1" x14ac:dyDescent="0.2">
      <c r="A5" s="879"/>
      <c r="B5" s="913"/>
      <c r="C5" s="878"/>
      <c r="D5" s="878"/>
      <c r="E5" s="879"/>
      <c r="F5" s="876"/>
      <c r="G5" s="876"/>
      <c r="H5" s="876"/>
      <c r="I5" s="876"/>
      <c r="J5" s="882"/>
      <c r="K5" s="879"/>
      <c r="L5" s="5" t="s">
        <v>321</v>
      </c>
      <c r="M5" s="6" t="s">
        <v>17</v>
      </c>
      <c r="N5" s="5" t="s">
        <v>321</v>
      </c>
      <c r="O5" s="5" t="s">
        <v>17</v>
      </c>
      <c r="P5" s="5" t="s">
        <v>321</v>
      </c>
      <c r="Q5" s="5" t="s">
        <v>17</v>
      </c>
      <c r="R5" s="5" t="s">
        <v>17</v>
      </c>
      <c r="S5" s="5" t="s">
        <v>17</v>
      </c>
      <c r="T5" s="879"/>
    </row>
    <row r="6" spans="1:21" s="1" customFormat="1" ht="17.25" thickBot="1" x14ac:dyDescent="0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374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</row>
    <row r="7" spans="1:21" s="1" customFormat="1" ht="40.5" customHeight="1" thickBot="1" x14ac:dyDescent="0.25">
      <c r="A7" s="985"/>
      <c r="B7" s="986"/>
      <c r="C7" s="986"/>
      <c r="D7" s="986"/>
      <c r="E7" s="986"/>
      <c r="F7" s="986"/>
      <c r="G7" s="987"/>
      <c r="H7" s="991">
        <v>1</v>
      </c>
      <c r="I7" s="993" t="s">
        <v>20</v>
      </c>
      <c r="J7" s="994"/>
      <c r="K7" s="995"/>
      <c r="L7" s="375">
        <f>L9+L12+L14</f>
        <v>168.53399999999999</v>
      </c>
      <c r="M7" s="941">
        <f>SUBTOTAL(9,M9:M14)</f>
        <v>7216757.4565836564</v>
      </c>
      <c r="N7" s="375">
        <f>N9+N12+N14</f>
        <v>358.41899999999998</v>
      </c>
      <c r="O7" s="941">
        <f>SUBTOTAL(9,O9:O14)</f>
        <v>7946028.8907199996</v>
      </c>
      <c r="P7" s="375">
        <f>P9+P12+P14</f>
        <v>330.97500000000002</v>
      </c>
      <c r="Q7" s="941">
        <f>SUBTOTAL(9,Q9:Q14)</f>
        <v>7564065.8035920002</v>
      </c>
      <c r="R7" s="941">
        <f>SUBTOTAL(9,R9:R14)</f>
        <v>27212025.963895656</v>
      </c>
      <c r="S7" s="963" t="s">
        <v>21</v>
      </c>
      <c r="T7" s="965"/>
      <c r="U7" s="1">
        <v>217.39400000000001</v>
      </c>
    </row>
    <row r="8" spans="1:21" s="1" customFormat="1" ht="40.5" customHeight="1" thickBot="1" x14ac:dyDescent="0.25">
      <c r="A8" s="988"/>
      <c r="B8" s="989"/>
      <c r="C8" s="989"/>
      <c r="D8" s="989"/>
      <c r="E8" s="989"/>
      <c r="F8" s="989"/>
      <c r="G8" s="990"/>
      <c r="H8" s="992"/>
      <c r="I8" s="996"/>
      <c r="J8" s="997"/>
      <c r="K8" s="998"/>
      <c r="L8" s="462">
        <f>L15</f>
        <v>1331.2</v>
      </c>
      <c r="M8" s="942"/>
      <c r="N8" s="462">
        <f>N15</f>
        <v>297.3</v>
      </c>
      <c r="O8" s="942"/>
      <c r="P8" s="462">
        <f>P15</f>
        <v>255.5</v>
      </c>
      <c r="Q8" s="942"/>
      <c r="R8" s="942"/>
      <c r="S8" s="964"/>
      <c r="T8" s="966"/>
    </row>
    <row r="9" spans="1:21" s="397" customFormat="1" ht="41.25" customHeight="1" x14ac:dyDescent="0.2">
      <c r="A9" s="999"/>
      <c r="B9" s="1000"/>
      <c r="C9" s="1000"/>
      <c r="D9" s="1000"/>
      <c r="E9" s="1000"/>
      <c r="F9" s="1000"/>
      <c r="G9" s="1001"/>
      <c r="H9" s="938">
        <v>2</v>
      </c>
      <c r="I9" s="889" t="s">
        <v>339</v>
      </c>
      <c r="J9" s="890"/>
      <c r="K9" s="891"/>
      <c r="L9" s="396">
        <f t="shared" ref="L9:R9" si="0">L20+L59+L92+L118+L246+L340</f>
        <v>11.007999999999999</v>
      </c>
      <c r="M9" s="396">
        <f t="shared" si="0"/>
        <v>1376226.9918900002</v>
      </c>
      <c r="N9" s="396">
        <f t="shared" si="0"/>
        <v>0</v>
      </c>
      <c r="O9" s="396">
        <f t="shared" si="0"/>
        <v>0</v>
      </c>
      <c r="P9" s="396">
        <f t="shared" si="0"/>
        <v>0</v>
      </c>
      <c r="Q9" s="396">
        <f t="shared" si="0"/>
        <v>0</v>
      </c>
      <c r="R9" s="396">
        <f t="shared" si="0"/>
        <v>2537989.7018899997</v>
      </c>
      <c r="S9" s="970" t="s">
        <v>21</v>
      </c>
      <c r="T9" s="967"/>
      <c r="U9" s="397">
        <f>M9-M24</f>
        <v>952517.84189000016</v>
      </c>
    </row>
    <row r="10" spans="1:21" s="1" customFormat="1" ht="20.25" customHeight="1" x14ac:dyDescent="0.2">
      <c r="A10" s="1002"/>
      <c r="B10" s="1003"/>
      <c r="C10" s="1003"/>
      <c r="D10" s="1003"/>
      <c r="E10" s="1003"/>
      <c r="F10" s="1003"/>
      <c r="G10" s="1004"/>
      <c r="H10" s="939"/>
      <c r="I10" s="898" t="s">
        <v>340</v>
      </c>
      <c r="J10" s="899"/>
      <c r="K10" s="900"/>
      <c r="L10" s="453">
        <f>L20</f>
        <v>9.0749999999999993</v>
      </c>
      <c r="M10" s="453">
        <f t="shared" ref="M10:Q10" si="1">M20</f>
        <v>423709.15</v>
      </c>
      <c r="N10" s="453">
        <f t="shared" si="1"/>
        <v>0</v>
      </c>
      <c r="O10" s="453">
        <f t="shared" si="1"/>
        <v>0</v>
      </c>
      <c r="P10" s="453">
        <f t="shared" si="1"/>
        <v>0</v>
      </c>
      <c r="Q10" s="453">
        <f t="shared" si="1"/>
        <v>0</v>
      </c>
      <c r="R10" s="453">
        <f>R20</f>
        <v>1585471.8599999999</v>
      </c>
      <c r="S10" s="971"/>
      <c r="T10" s="968"/>
    </row>
    <row r="11" spans="1:21" s="1" customFormat="1" ht="20.25" customHeight="1" thickBot="1" x14ac:dyDescent="0.25">
      <c r="A11" s="1005"/>
      <c r="B11" s="1006"/>
      <c r="C11" s="1006"/>
      <c r="D11" s="1006"/>
      <c r="E11" s="1006"/>
      <c r="F11" s="1006"/>
      <c r="G11" s="1007"/>
      <c r="H11" s="940"/>
      <c r="I11" s="901" t="s">
        <v>341</v>
      </c>
      <c r="J11" s="902"/>
      <c r="K11" s="903"/>
      <c r="L11" s="454">
        <f>L63+L96+L122+L250</f>
        <v>1.9330000000000001</v>
      </c>
      <c r="M11" s="454">
        <f t="shared" ref="M11:R11" si="2">M59+M92+M118+M246+M340</f>
        <v>952517.84189000004</v>
      </c>
      <c r="N11" s="454">
        <f t="shared" si="2"/>
        <v>0</v>
      </c>
      <c r="O11" s="454">
        <f t="shared" si="2"/>
        <v>0</v>
      </c>
      <c r="P11" s="454">
        <f t="shared" si="2"/>
        <v>0</v>
      </c>
      <c r="Q11" s="454">
        <f t="shared" si="2"/>
        <v>0</v>
      </c>
      <c r="R11" s="454">
        <f t="shared" si="2"/>
        <v>952517.84189000004</v>
      </c>
      <c r="S11" s="972"/>
      <c r="T11" s="969"/>
      <c r="U11" s="489">
        <f>M11-960000</f>
        <v>-7482.1581099999603</v>
      </c>
    </row>
    <row r="12" spans="1:21" s="358" customFormat="1" ht="39.75" customHeight="1" thickBot="1" x14ac:dyDescent="0.25">
      <c r="A12" s="979"/>
      <c r="B12" s="980"/>
      <c r="C12" s="980"/>
      <c r="D12" s="980"/>
      <c r="E12" s="980"/>
      <c r="F12" s="980"/>
      <c r="G12" s="981"/>
      <c r="H12" s="376">
        <v>3</v>
      </c>
      <c r="I12" s="892" t="s">
        <v>23</v>
      </c>
      <c r="J12" s="893"/>
      <c r="K12" s="894"/>
      <c r="L12" s="377">
        <f t="shared" ref="L12:R12" si="3">L21+L60+L93+L119+L247+L341</f>
        <v>45.552</v>
      </c>
      <c r="M12" s="377">
        <f t="shared" si="3"/>
        <v>1663050.29</v>
      </c>
      <c r="N12" s="377">
        <f t="shared" si="3"/>
        <v>179.67699999999999</v>
      </c>
      <c r="O12" s="377">
        <f t="shared" si="3"/>
        <v>3308907.3095999998</v>
      </c>
      <c r="P12" s="377">
        <f t="shared" si="3"/>
        <v>100.1</v>
      </c>
      <c r="Q12" s="377">
        <f t="shared" si="3"/>
        <v>3016703.3015919998</v>
      </c>
      <c r="R12" s="377">
        <f t="shared" si="3"/>
        <v>8923953.9241920002</v>
      </c>
      <c r="S12" s="378" t="s">
        <v>21</v>
      </c>
      <c r="T12" s="379"/>
      <c r="U12" s="358">
        <f>U9+13782.038</f>
        <v>966299.87989000021</v>
      </c>
    </row>
    <row r="13" spans="1:21" s="434" customFormat="1" ht="39.75" customHeight="1" thickBot="1" x14ac:dyDescent="0.25">
      <c r="A13" s="982"/>
      <c r="B13" s="983"/>
      <c r="C13" s="983"/>
      <c r="D13" s="983"/>
      <c r="E13" s="983"/>
      <c r="F13" s="983"/>
      <c r="G13" s="984"/>
      <c r="H13" s="430">
        <v>4</v>
      </c>
      <c r="I13" s="895" t="s">
        <v>337</v>
      </c>
      <c r="J13" s="896"/>
      <c r="K13" s="897"/>
      <c r="L13" s="431" t="s">
        <v>21</v>
      </c>
      <c r="M13" s="431">
        <f>M22+M61+M94+M120+M248</f>
        <v>208245.63997999998</v>
      </c>
      <c r="N13" s="431" t="s">
        <v>21</v>
      </c>
      <c r="O13" s="431">
        <f>O22+O61+O94+O120+O248</f>
        <v>87653.6</v>
      </c>
      <c r="P13" s="431" t="s">
        <v>21</v>
      </c>
      <c r="Q13" s="431">
        <f>Q22+Q61+Q94+Q120+Q248</f>
        <v>100000</v>
      </c>
      <c r="R13" s="431">
        <f>R22+R61+R94+R120+R248</f>
        <v>198338.13997999998</v>
      </c>
      <c r="S13" s="432" t="s">
        <v>21</v>
      </c>
      <c r="T13" s="433"/>
    </row>
    <row r="14" spans="1:21" s="359" customFormat="1" ht="26.25" customHeight="1" x14ac:dyDescent="0.2">
      <c r="A14" s="954"/>
      <c r="B14" s="955"/>
      <c r="C14" s="955"/>
      <c r="D14" s="955"/>
      <c r="E14" s="955"/>
      <c r="F14" s="955"/>
      <c r="G14" s="956"/>
      <c r="H14" s="952">
        <v>5</v>
      </c>
      <c r="I14" s="946" t="s">
        <v>344</v>
      </c>
      <c r="J14" s="947"/>
      <c r="K14" s="948"/>
      <c r="L14" s="455">
        <f>L16+L17</f>
        <v>111.974</v>
      </c>
      <c r="M14" s="904">
        <f>M23+M62+M95+M121+M249+M342</f>
        <v>2593007.542823656</v>
      </c>
      <c r="N14" s="455">
        <f>N16+N17</f>
        <v>178.74199999999999</v>
      </c>
      <c r="O14" s="904">
        <f>O23+O62+O95+O121+O249+O342</f>
        <v>4549467.9811199997</v>
      </c>
      <c r="P14" s="455">
        <f>P16+P17</f>
        <v>230.875</v>
      </c>
      <c r="Q14" s="904">
        <f>Q23+Q62+Q95+Q121+Q249+Q342</f>
        <v>4447362.5020000003</v>
      </c>
      <c r="R14" s="904">
        <f>R23+R62+R95+R121+R249+R342</f>
        <v>13013754.495943656</v>
      </c>
      <c r="S14" s="973" t="s">
        <v>21</v>
      </c>
      <c r="T14" s="976"/>
    </row>
    <row r="15" spans="1:21" s="359" customFormat="1" ht="26.25" customHeight="1" x14ac:dyDescent="0.2">
      <c r="A15" s="957"/>
      <c r="B15" s="958"/>
      <c r="C15" s="958"/>
      <c r="D15" s="958"/>
      <c r="E15" s="958"/>
      <c r="F15" s="958"/>
      <c r="G15" s="959"/>
      <c r="H15" s="953"/>
      <c r="I15" s="949"/>
      <c r="J15" s="950"/>
      <c r="K15" s="951"/>
      <c r="L15" s="463">
        <f>L18</f>
        <v>1331.2</v>
      </c>
      <c r="M15" s="905"/>
      <c r="N15" s="463">
        <f>N18</f>
        <v>297.3</v>
      </c>
      <c r="O15" s="905"/>
      <c r="P15" s="463">
        <f>P18</f>
        <v>255.5</v>
      </c>
      <c r="Q15" s="905"/>
      <c r="R15" s="905"/>
      <c r="S15" s="974"/>
      <c r="T15" s="977"/>
    </row>
    <row r="16" spans="1:21" s="8" customFormat="1" ht="23.25" customHeight="1" x14ac:dyDescent="0.2">
      <c r="A16" s="957"/>
      <c r="B16" s="958"/>
      <c r="C16" s="958"/>
      <c r="D16" s="958"/>
      <c r="E16" s="958"/>
      <c r="F16" s="958"/>
      <c r="G16" s="959"/>
      <c r="H16" s="456"/>
      <c r="I16" s="888" t="s">
        <v>346</v>
      </c>
      <c r="J16" s="888"/>
      <c r="K16" s="888"/>
      <c r="L16" s="457">
        <f>L23</f>
        <v>16.384</v>
      </c>
      <c r="M16" s="457">
        <f t="shared" ref="M16:R16" si="4">M23</f>
        <v>1066500</v>
      </c>
      <c r="N16" s="457">
        <f t="shared" si="4"/>
        <v>0.5</v>
      </c>
      <c r="O16" s="457">
        <f t="shared" si="4"/>
        <v>2185000</v>
      </c>
      <c r="P16" s="457">
        <f t="shared" si="4"/>
        <v>59.945</v>
      </c>
      <c r="Q16" s="457">
        <f t="shared" si="4"/>
        <v>2892955.4620000003</v>
      </c>
      <c r="R16" s="457">
        <f t="shared" si="4"/>
        <v>7568371.932</v>
      </c>
      <c r="S16" s="974"/>
      <c r="T16" s="977"/>
    </row>
    <row r="17" spans="1:20" s="371" customFormat="1" ht="21.75" customHeight="1" x14ac:dyDescent="0.2">
      <c r="A17" s="957"/>
      <c r="B17" s="958"/>
      <c r="C17" s="958"/>
      <c r="D17" s="958"/>
      <c r="E17" s="958"/>
      <c r="F17" s="958"/>
      <c r="G17" s="959"/>
      <c r="H17" s="456"/>
      <c r="I17" s="888" t="s">
        <v>345</v>
      </c>
      <c r="J17" s="888"/>
      <c r="K17" s="888"/>
      <c r="L17" s="457">
        <f>L62+L121</f>
        <v>95.59</v>
      </c>
      <c r="M17" s="457">
        <f t="shared" ref="M17:R17" si="5">M62+M121</f>
        <v>1092162.29</v>
      </c>
      <c r="N17" s="457">
        <f t="shared" si="5"/>
        <v>178.24199999999999</v>
      </c>
      <c r="O17" s="457">
        <f t="shared" si="5"/>
        <v>2232967.9811199997</v>
      </c>
      <c r="P17" s="457">
        <f t="shared" si="5"/>
        <v>170.93</v>
      </c>
      <c r="Q17" s="457">
        <f t="shared" si="5"/>
        <v>1427707.04</v>
      </c>
      <c r="R17" s="457">
        <f t="shared" si="5"/>
        <v>4752837.3111199997</v>
      </c>
      <c r="S17" s="974"/>
      <c r="T17" s="977"/>
    </row>
    <row r="18" spans="1:20" s="8" customFormat="1" ht="21.75" customHeight="1" thickBot="1" x14ac:dyDescent="0.25">
      <c r="A18" s="960"/>
      <c r="B18" s="961"/>
      <c r="C18" s="961"/>
      <c r="D18" s="961"/>
      <c r="E18" s="961"/>
      <c r="F18" s="961"/>
      <c r="G18" s="962"/>
      <c r="H18" s="458"/>
      <c r="I18" s="885" t="s">
        <v>347</v>
      </c>
      <c r="J18" s="886"/>
      <c r="K18" s="887"/>
      <c r="L18" s="459">
        <f t="shared" ref="L18:R18" si="6">L95+L249</f>
        <v>1331.2</v>
      </c>
      <c r="M18" s="459">
        <f t="shared" si="6"/>
        <v>434345.25282365596</v>
      </c>
      <c r="N18" s="459">
        <f t="shared" si="6"/>
        <v>297.3</v>
      </c>
      <c r="O18" s="459">
        <f t="shared" si="6"/>
        <v>131500</v>
      </c>
      <c r="P18" s="459">
        <f t="shared" si="6"/>
        <v>255.5</v>
      </c>
      <c r="Q18" s="459">
        <f t="shared" si="6"/>
        <v>126700</v>
      </c>
      <c r="R18" s="459">
        <f t="shared" si="6"/>
        <v>692545.25282365608</v>
      </c>
      <c r="S18" s="975"/>
      <c r="T18" s="978"/>
    </row>
    <row r="19" spans="1:20" s="8" customFormat="1" ht="23.45" customHeight="1" x14ac:dyDescent="0.2">
      <c r="A19" s="914" t="s">
        <v>18</v>
      </c>
      <c r="B19" s="917" t="s">
        <v>19</v>
      </c>
      <c r="C19" s="918"/>
      <c r="D19" s="918"/>
      <c r="E19" s="918"/>
      <c r="F19" s="918"/>
      <c r="G19" s="919"/>
      <c r="H19" s="355">
        <v>1</v>
      </c>
      <c r="I19" s="926" t="s">
        <v>20</v>
      </c>
      <c r="J19" s="927"/>
      <c r="K19" s="928"/>
      <c r="L19" s="356">
        <f>L20+L21+L23</f>
        <v>25.459</v>
      </c>
      <c r="M19" s="356">
        <f>SUBTOTAL(9,M20:M23)</f>
        <v>2166120.6119999997</v>
      </c>
      <c r="N19" s="356">
        <f>N20+N21+N23</f>
        <v>19.576999999999998</v>
      </c>
      <c r="O19" s="356">
        <f>SUBTOTAL(9,O20:O23)</f>
        <v>3209000</v>
      </c>
      <c r="P19" s="356">
        <f>P20+P21+P23</f>
        <v>59.945</v>
      </c>
      <c r="Q19" s="356">
        <f>SUBTOTAL(9,Q20:Q23)</f>
        <v>3603475.5890000002</v>
      </c>
      <c r="R19" s="356">
        <f>SUBTOTAL(9,R20:R23)</f>
        <v>12654787.204</v>
      </c>
      <c r="S19" s="357" t="s">
        <v>21</v>
      </c>
      <c r="T19" s="372"/>
    </row>
    <row r="20" spans="1:20" s="9" customFormat="1" ht="23.45" customHeight="1" x14ac:dyDescent="0.2">
      <c r="A20" s="915"/>
      <c r="B20" s="920"/>
      <c r="C20" s="921"/>
      <c r="D20" s="921"/>
      <c r="E20" s="921"/>
      <c r="F20" s="921"/>
      <c r="G20" s="922"/>
      <c r="H20" s="421">
        <v>2</v>
      </c>
      <c r="I20" s="869" t="s">
        <v>22</v>
      </c>
      <c r="J20" s="870"/>
      <c r="K20" s="871"/>
      <c r="L20" s="422">
        <f>L24</f>
        <v>9.0749999999999993</v>
      </c>
      <c r="M20" s="422">
        <f t="shared" ref="M20:R20" si="7">M24</f>
        <v>423709.15</v>
      </c>
      <c r="N20" s="422">
        <f t="shared" si="7"/>
        <v>0</v>
      </c>
      <c r="O20" s="422">
        <f t="shared" si="7"/>
        <v>0</v>
      </c>
      <c r="P20" s="422">
        <f t="shared" si="7"/>
        <v>0</v>
      </c>
      <c r="Q20" s="422">
        <f t="shared" si="7"/>
        <v>0</v>
      </c>
      <c r="R20" s="422">
        <f t="shared" si="7"/>
        <v>1585471.8599999999</v>
      </c>
      <c r="S20" s="429" t="s">
        <v>21</v>
      </c>
      <c r="T20" s="423"/>
    </row>
    <row r="21" spans="1:20" s="9" customFormat="1" ht="23.45" customHeight="1" x14ac:dyDescent="0.2">
      <c r="A21" s="915"/>
      <c r="B21" s="920"/>
      <c r="C21" s="921"/>
      <c r="D21" s="921"/>
      <c r="E21" s="921"/>
      <c r="F21" s="921"/>
      <c r="G21" s="922"/>
      <c r="H21" s="12">
        <v>3</v>
      </c>
      <c r="I21" s="872" t="s">
        <v>23</v>
      </c>
      <c r="J21" s="873"/>
      <c r="K21" s="874"/>
      <c r="L21" s="13">
        <f>L27</f>
        <v>0</v>
      </c>
      <c r="M21" s="13">
        <f t="shared" ref="M21:R21" si="8">M27</f>
        <v>576290.85</v>
      </c>
      <c r="N21" s="13">
        <f t="shared" si="8"/>
        <v>19.076999999999998</v>
      </c>
      <c r="O21" s="13">
        <f t="shared" si="8"/>
        <v>1000000</v>
      </c>
      <c r="P21" s="13">
        <f t="shared" si="8"/>
        <v>0</v>
      </c>
      <c r="Q21" s="13">
        <f t="shared" si="8"/>
        <v>660520.12699999998</v>
      </c>
      <c r="R21" s="13">
        <f t="shared" si="8"/>
        <v>3357322.8</v>
      </c>
      <c r="S21" s="14" t="s">
        <v>21</v>
      </c>
      <c r="T21" s="282"/>
    </row>
    <row r="22" spans="1:20" s="434" customFormat="1" ht="23.45" customHeight="1" x14ac:dyDescent="0.2">
      <c r="A22" s="915"/>
      <c r="B22" s="920"/>
      <c r="C22" s="921"/>
      <c r="D22" s="921"/>
      <c r="E22" s="921"/>
      <c r="F22" s="921"/>
      <c r="G22" s="922"/>
      <c r="H22" s="435">
        <v>4</v>
      </c>
      <c r="I22" s="906" t="s">
        <v>24</v>
      </c>
      <c r="J22" s="907"/>
      <c r="K22" s="908"/>
      <c r="L22" s="436" t="s">
        <v>21</v>
      </c>
      <c r="M22" s="436">
        <f>M45</f>
        <v>99620.611999999994</v>
      </c>
      <c r="N22" s="436" t="s">
        <v>21</v>
      </c>
      <c r="O22" s="436">
        <f>O45</f>
        <v>24000</v>
      </c>
      <c r="P22" s="436" t="s">
        <v>21</v>
      </c>
      <c r="Q22" s="436">
        <v>50000</v>
      </c>
      <c r="R22" s="436">
        <f>R45</f>
        <v>143620.61199999999</v>
      </c>
      <c r="S22" s="437" t="s">
        <v>21</v>
      </c>
      <c r="T22" s="438"/>
    </row>
    <row r="23" spans="1:20" s="9" customFormat="1" ht="23.45" customHeight="1" thickBot="1" x14ac:dyDescent="0.25">
      <c r="A23" s="916"/>
      <c r="B23" s="923"/>
      <c r="C23" s="924"/>
      <c r="D23" s="924"/>
      <c r="E23" s="924"/>
      <c r="F23" s="924"/>
      <c r="G23" s="925"/>
      <c r="H23" s="15">
        <v>5</v>
      </c>
      <c r="I23" s="909" t="s">
        <v>25</v>
      </c>
      <c r="J23" s="910"/>
      <c r="K23" s="911"/>
      <c r="L23" s="16">
        <f>L33</f>
        <v>16.384</v>
      </c>
      <c r="M23" s="16">
        <f>M33</f>
        <v>1066500</v>
      </c>
      <c r="N23" s="16">
        <f>N33</f>
        <v>0.5</v>
      </c>
      <c r="O23" s="16">
        <f>O33</f>
        <v>2185000</v>
      </c>
      <c r="P23" s="16">
        <f t="shared" ref="P23:R23" si="9">P33</f>
        <v>59.945</v>
      </c>
      <c r="Q23" s="16">
        <f t="shared" si="9"/>
        <v>2892955.4620000003</v>
      </c>
      <c r="R23" s="16">
        <f t="shared" si="9"/>
        <v>7568371.932</v>
      </c>
      <c r="S23" s="17" t="s">
        <v>21</v>
      </c>
      <c r="T23" s="283"/>
    </row>
    <row r="24" spans="1:20" s="408" customFormat="1" ht="33.75" customHeight="1" x14ac:dyDescent="0.25">
      <c r="A24" s="398" t="s">
        <v>26</v>
      </c>
      <c r="B24" s="399"/>
      <c r="C24" s="399"/>
      <c r="D24" s="399"/>
      <c r="E24" s="400"/>
      <c r="F24" s="401"/>
      <c r="G24" s="402"/>
      <c r="H24" s="403"/>
      <c r="I24" s="404"/>
      <c r="J24" s="405"/>
      <c r="K24" s="406"/>
      <c r="L24" s="403">
        <f>SUBTOTAL(9,L25:L26)</f>
        <v>9.0749999999999993</v>
      </c>
      <c r="M24" s="403">
        <f t="shared" ref="M24:R24" si="10">SUBTOTAL(9,M25:M26)</f>
        <v>423709.15</v>
      </c>
      <c r="N24" s="403">
        <f t="shared" si="10"/>
        <v>0</v>
      </c>
      <c r="O24" s="403">
        <f t="shared" si="10"/>
        <v>0</v>
      </c>
      <c r="P24" s="403">
        <f t="shared" si="10"/>
        <v>0</v>
      </c>
      <c r="Q24" s="403">
        <f t="shared" si="10"/>
        <v>0</v>
      </c>
      <c r="R24" s="403">
        <f t="shared" si="10"/>
        <v>1585471.8599999999</v>
      </c>
      <c r="S24" s="407" t="s">
        <v>21</v>
      </c>
      <c r="T24" s="407"/>
    </row>
    <row r="25" spans="1:20" s="24" customFormat="1" ht="75" customHeight="1" x14ac:dyDescent="0.25">
      <c r="A25" s="18">
        <v>1</v>
      </c>
      <c r="B25" s="318" t="s">
        <v>27</v>
      </c>
      <c r="C25" s="319"/>
      <c r="D25" s="319"/>
      <c r="E25" s="320" t="s">
        <v>28</v>
      </c>
      <c r="F25" s="321" t="s">
        <v>29</v>
      </c>
      <c r="G25" s="322"/>
      <c r="H25" s="323"/>
      <c r="I25" s="324">
        <v>2</v>
      </c>
      <c r="J25" s="323"/>
      <c r="K25" s="323" t="s">
        <v>322</v>
      </c>
      <c r="L25" s="323">
        <v>6.1749999999999998</v>
      </c>
      <c r="M25" s="323">
        <v>224145.85</v>
      </c>
      <c r="N25" s="323"/>
      <c r="O25" s="323"/>
      <c r="P25" s="323"/>
      <c r="Q25" s="323"/>
      <c r="R25" s="323">
        <v>729149.7</v>
      </c>
      <c r="S25" s="325">
        <f>R25/L25</f>
        <v>118080.92307692308</v>
      </c>
      <c r="T25" s="326"/>
    </row>
    <row r="26" spans="1:20" s="24" customFormat="1" ht="84.75" customHeight="1" x14ac:dyDescent="0.25">
      <c r="A26" s="18">
        <v>2</v>
      </c>
      <c r="B26" s="318" t="s">
        <v>30</v>
      </c>
      <c r="C26" s="319"/>
      <c r="D26" s="319"/>
      <c r="E26" s="320" t="s">
        <v>31</v>
      </c>
      <c r="F26" s="321" t="s">
        <v>29</v>
      </c>
      <c r="G26" s="322"/>
      <c r="H26" s="323"/>
      <c r="I26" s="324">
        <v>2</v>
      </c>
      <c r="J26" s="323"/>
      <c r="K26" s="323" t="s">
        <v>322</v>
      </c>
      <c r="L26" s="323">
        <v>2.9</v>
      </c>
      <c r="M26" s="323">
        <v>199563.3</v>
      </c>
      <c r="N26" s="323"/>
      <c r="O26" s="323"/>
      <c r="P26" s="323"/>
      <c r="Q26" s="323"/>
      <c r="R26" s="323">
        <v>856322.16</v>
      </c>
      <c r="S26" s="325">
        <v>295283.5</v>
      </c>
      <c r="T26" s="326"/>
    </row>
    <row r="27" spans="1:20" s="9" customFormat="1" ht="33.75" customHeight="1" x14ac:dyDescent="0.2">
      <c r="A27" s="327"/>
      <c r="B27" s="328" t="s">
        <v>32</v>
      </c>
      <c r="C27" s="329"/>
      <c r="D27" s="330"/>
      <c r="E27" s="331"/>
      <c r="F27" s="332"/>
      <c r="G27" s="333"/>
      <c r="H27" s="333"/>
      <c r="I27" s="334"/>
      <c r="J27" s="335"/>
      <c r="K27" s="335"/>
      <c r="L27" s="336">
        <f t="shared" ref="L27" si="11">SUBTOTAL(9,L28:L30)</f>
        <v>0</v>
      </c>
      <c r="M27" s="336">
        <f>SUBTOTAL(9,M28:M32)</f>
        <v>576290.85</v>
      </c>
      <c r="N27" s="336">
        <f t="shared" ref="N27:P27" si="12">SUBTOTAL(9,N28:N32)</f>
        <v>19.076999999999998</v>
      </c>
      <c r="O27" s="336">
        <f>SUBTOTAL(9,O28:O32)</f>
        <v>1000000</v>
      </c>
      <c r="P27" s="336">
        <f t="shared" si="12"/>
        <v>0</v>
      </c>
      <c r="Q27" s="336">
        <f>SUBTOTAL(9,Q28:Q32)</f>
        <v>660520.12699999998</v>
      </c>
      <c r="R27" s="336">
        <f>SUBTOTAL(9,R28:R32)</f>
        <v>3357322.8</v>
      </c>
      <c r="S27" s="337"/>
      <c r="T27" s="338"/>
    </row>
    <row r="28" spans="1:20" s="343" customFormat="1" ht="66" x14ac:dyDescent="0.2">
      <c r="A28" s="339">
        <v>1</v>
      </c>
      <c r="B28" s="318" t="s">
        <v>33</v>
      </c>
      <c r="C28" s="340"/>
      <c r="D28" s="340"/>
      <c r="E28" s="320" t="s">
        <v>34</v>
      </c>
      <c r="F28" s="321" t="s">
        <v>29</v>
      </c>
      <c r="G28" s="340"/>
      <c r="H28" s="341"/>
      <c r="I28" s="339">
        <v>2</v>
      </c>
      <c r="J28" s="339"/>
      <c r="K28" s="339" t="s">
        <v>35</v>
      </c>
      <c r="L28" s="342"/>
      <c r="M28" s="342">
        <v>290000</v>
      </c>
      <c r="N28" s="342">
        <v>10</v>
      </c>
      <c r="O28" s="342">
        <v>495562.05</v>
      </c>
      <c r="P28" s="342"/>
      <c r="Q28" s="342"/>
      <c r="R28" s="323">
        <v>794313.16</v>
      </c>
      <c r="S28" s="325">
        <f>R28/N28</f>
        <v>79431.316000000006</v>
      </c>
      <c r="T28" s="320"/>
    </row>
    <row r="29" spans="1:20" s="343" customFormat="1" ht="66" x14ac:dyDescent="0.2">
      <c r="A29" s="339">
        <v>2</v>
      </c>
      <c r="B29" s="318" t="s">
        <v>36</v>
      </c>
      <c r="C29" s="340"/>
      <c r="D29" s="340"/>
      <c r="E29" s="320" t="s">
        <v>37</v>
      </c>
      <c r="F29" s="321" t="s">
        <v>29</v>
      </c>
      <c r="G29" s="340"/>
      <c r="H29" s="341"/>
      <c r="I29" s="339">
        <v>2</v>
      </c>
      <c r="J29" s="339"/>
      <c r="K29" s="339" t="s">
        <v>35</v>
      </c>
      <c r="L29" s="342"/>
      <c r="M29" s="342">
        <v>286290.84999999998</v>
      </c>
      <c r="N29" s="342">
        <v>9.077</v>
      </c>
      <c r="O29" s="342">
        <v>431506.55</v>
      </c>
      <c r="P29" s="342"/>
      <c r="Q29" s="342"/>
      <c r="R29" s="323">
        <v>722237.15</v>
      </c>
      <c r="S29" s="325">
        <f>R29/N29</f>
        <v>79567.825272667178</v>
      </c>
      <c r="T29" s="320"/>
    </row>
    <row r="30" spans="1:20" s="343" customFormat="1" ht="67.5" customHeight="1" x14ac:dyDescent="0.2">
      <c r="A30" s="339">
        <v>3</v>
      </c>
      <c r="B30" s="318" t="s">
        <v>38</v>
      </c>
      <c r="C30" s="340"/>
      <c r="D30" s="340"/>
      <c r="E30" s="320" t="s">
        <v>39</v>
      </c>
      <c r="F30" s="321" t="s">
        <v>29</v>
      </c>
      <c r="G30" s="340"/>
      <c r="H30" s="341"/>
      <c r="I30" s="339">
        <v>2</v>
      </c>
      <c r="J30" s="339"/>
      <c r="K30" s="339" t="s">
        <v>323</v>
      </c>
      <c r="L30" s="342"/>
      <c r="M30" s="342"/>
      <c r="N30" s="342"/>
      <c r="O30" s="342">
        <v>72931.399999999994</v>
      </c>
      <c r="P30" s="342"/>
      <c r="Q30" s="342">
        <v>317647.84700000001</v>
      </c>
      <c r="R30" s="323">
        <v>590141.88</v>
      </c>
      <c r="S30" s="325">
        <f>R30/9</f>
        <v>65571.320000000007</v>
      </c>
      <c r="T30" s="320"/>
    </row>
    <row r="31" spans="1:20" s="351" customFormat="1" ht="67.5" customHeight="1" x14ac:dyDescent="0.2">
      <c r="A31" s="344">
        <v>4</v>
      </c>
      <c r="B31" s="345" t="s">
        <v>324</v>
      </c>
      <c r="C31" s="346"/>
      <c r="D31" s="346"/>
      <c r="E31" s="347" t="s">
        <v>39</v>
      </c>
      <c r="F31" s="348" t="s">
        <v>29</v>
      </c>
      <c r="G31" s="346"/>
      <c r="H31" s="349"/>
      <c r="I31" s="344">
        <v>2</v>
      </c>
      <c r="J31" s="344"/>
      <c r="K31" s="344" t="s">
        <v>59</v>
      </c>
      <c r="L31" s="350"/>
      <c r="M31" s="350"/>
      <c r="N31" s="350"/>
      <c r="O31" s="350"/>
      <c r="P31" s="350"/>
      <c r="Q31" s="350">
        <v>200000</v>
      </c>
      <c r="R31" s="325">
        <v>597762.21</v>
      </c>
      <c r="S31" s="325">
        <f>R31/9</f>
        <v>66418.023333333331</v>
      </c>
      <c r="T31" s="347"/>
    </row>
    <row r="32" spans="1:20" s="8" customFormat="1" ht="67.5" customHeight="1" x14ac:dyDescent="0.2">
      <c r="A32" s="27">
        <v>5</v>
      </c>
      <c r="B32" s="19" t="s">
        <v>325</v>
      </c>
      <c r="C32" s="28"/>
      <c r="D32" s="28"/>
      <c r="E32" s="20" t="s">
        <v>39</v>
      </c>
      <c r="F32" s="21" t="s">
        <v>29</v>
      </c>
      <c r="G32" s="28"/>
      <c r="H32" s="29"/>
      <c r="I32" s="27">
        <v>2</v>
      </c>
      <c r="J32" s="27"/>
      <c r="K32" s="27" t="s">
        <v>59</v>
      </c>
      <c r="L32" s="30"/>
      <c r="M32" s="30"/>
      <c r="N32" s="30"/>
      <c r="O32" s="30"/>
      <c r="P32" s="30"/>
      <c r="Q32" s="30">
        <v>142872.28</v>
      </c>
      <c r="R32" s="22">
        <v>652868.4</v>
      </c>
      <c r="S32" s="22">
        <f>R32/10</f>
        <v>65286.840000000004</v>
      </c>
      <c r="T32" s="20"/>
    </row>
    <row r="33" spans="1:16378" s="8" customFormat="1" ht="49.5" x14ac:dyDescent="0.25">
      <c r="A33" s="31"/>
      <c r="B33" s="32" t="s">
        <v>41</v>
      </c>
      <c r="C33" s="33"/>
      <c r="D33" s="34"/>
      <c r="E33" s="34"/>
      <c r="F33" s="34"/>
      <c r="G33" s="34"/>
      <c r="H33" s="34"/>
      <c r="I33" s="34"/>
      <c r="J33" s="34"/>
      <c r="K33" s="34"/>
      <c r="L33" s="35">
        <f>SUBTOTAL(9,L34:L44)</f>
        <v>16.384</v>
      </c>
      <c r="M33" s="35">
        <f>SUBTOTAL(9,M34:M44)</f>
        <v>1066500</v>
      </c>
      <c r="N33" s="35">
        <f t="shared" ref="N33" si="13">SUBTOTAL(9,N34:N44)</f>
        <v>0.5</v>
      </c>
      <c r="O33" s="35">
        <f>SUBTOTAL(9,O34:O44)</f>
        <v>2185000</v>
      </c>
      <c r="P33" s="35">
        <f t="shared" ref="P33" si="14">SUBTOTAL(9,P34:P44)</f>
        <v>59.945</v>
      </c>
      <c r="Q33" s="35">
        <f>SUBTOTAL(9,Q34:Q44)</f>
        <v>2892955.4620000003</v>
      </c>
      <c r="R33" s="35">
        <f>SUBTOTAL(9,R34:R44)</f>
        <v>7568371.932</v>
      </c>
      <c r="S33" s="35"/>
      <c r="T33" s="35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  <c r="HDV33" s="38"/>
      <c r="HDW33" s="38"/>
      <c r="HDX33" s="38"/>
      <c r="HDY33" s="38"/>
      <c r="HDZ33" s="38"/>
      <c r="HEA33" s="38"/>
      <c r="HEB33" s="38"/>
      <c r="HEC33" s="38"/>
      <c r="HED33" s="38"/>
      <c r="HEE33" s="38"/>
      <c r="HEF33" s="38"/>
      <c r="HEG33" s="38"/>
      <c r="HEH33" s="38"/>
      <c r="HEI33" s="38"/>
      <c r="HEJ33" s="38"/>
      <c r="HEK33" s="38"/>
      <c r="HEL33" s="38"/>
      <c r="HEM33" s="38"/>
      <c r="HEN33" s="38"/>
      <c r="HEO33" s="38"/>
      <c r="HEP33" s="38"/>
      <c r="HEQ33" s="38"/>
      <c r="HER33" s="38"/>
      <c r="HES33" s="38"/>
      <c r="HET33" s="38"/>
      <c r="HEU33" s="38"/>
      <c r="HEV33" s="38"/>
      <c r="HEW33" s="38"/>
      <c r="HEX33" s="38"/>
      <c r="HEY33" s="38"/>
      <c r="HEZ33" s="38"/>
      <c r="HFA33" s="38"/>
      <c r="HFB33" s="38"/>
      <c r="HFC33" s="38"/>
      <c r="HFD33" s="38"/>
      <c r="HFE33" s="38"/>
      <c r="HFF33" s="38"/>
      <c r="HFG33" s="38"/>
      <c r="HFH33" s="38"/>
      <c r="HFI33" s="38"/>
      <c r="HFJ33" s="38"/>
      <c r="HFK33" s="38"/>
      <c r="HFL33" s="38"/>
      <c r="HFM33" s="38"/>
      <c r="HFN33" s="38"/>
      <c r="HFO33" s="38"/>
      <c r="HFP33" s="38"/>
      <c r="HFQ33" s="38"/>
      <c r="HFR33" s="38"/>
      <c r="HFS33" s="38"/>
      <c r="HFT33" s="38"/>
      <c r="HFU33" s="38"/>
      <c r="HFV33" s="38"/>
      <c r="HFW33" s="38"/>
      <c r="HFX33" s="38"/>
      <c r="HFY33" s="38"/>
      <c r="HFZ33" s="38"/>
      <c r="HGA33" s="38"/>
      <c r="HGB33" s="38"/>
      <c r="HGC33" s="38"/>
      <c r="HGD33" s="38"/>
      <c r="HGE33" s="38"/>
      <c r="HGF33" s="38"/>
      <c r="HGG33" s="38"/>
      <c r="HGH33" s="38"/>
      <c r="HGI33" s="38"/>
      <c r="HGJ33" s="38"/>
      <c r="HGK33" s="38"/>
      <c r="HGL33" s="38"/>
      <c r="HGM33" s="38"/>
      <c r="HGN33" s="38"/>
      <c r="HGO33" s="38"/>
      <c r="HGP33" s="38"/>
      <c r="HGQ33" s="38"/>
      <c r="HGR33" s="38"/>
      <c r="HGS33" s="38"/>
      <c r="HGT33" s="38"/>
      <c r="HGU33" s="38"/>
      <c r="HGV33" s="38"/>
      <c r="HGW33" s="38"/>
      <c r="HGX33" s="38"/>
      <c r="HGY33" s="38"/>
      <c r="HGZ33" s="38"/>
      <c r="HHA33" s="38"/>
      <c r="HHB33" s="38"/>
      <c r="HHC33" s="38"/>
      <c r="HHD33" s="38"/>
      <c r="HHE33" s="38"/>
      <c r="HHF33" s="38"/>
      <c r="HHG33" s="38"/>
      <c r="HHH33" s="38"/>
      <c r="HHI33" s="38"/>
      <c r="HHJ33" s="38"/>
      <c r="HHK33" s="38"/>
      <c r="HHL33" s="38"/>
      <c r="HHM33" s="38"/>
      <c r="HHN33" s="38"/>
      <c r="HHO33" s="38"/>
      <c r="HHP33" s="38"/>
      <c r="HHQ33" s="38"/>
      <c r="HHR33" s="38"/>
      <c r="HHS33" s="38"/>
      <c r="HHT33" s="38"/>
      <c r="HHU33" s="38"/>
      <c r="HHV33" s="38"/>
      <c r="HHW33" s="38"/>
      <c r="HHX33" s="38"/>
      <c r="HHY33" s="38"/>
      <c r="HHZ33" s="38"/>
      <c r="HIA33" s="38"/>
      <c r="HIB33" s="38"/>
      <c r="HIC33" s="38"/>
      <c r="HID33" s="38"/>
      <c r="HIE33" s="38"/>
      <c r="HIF33" s="38"/>
      <c r="HIG33" s="38"/>
      <c r="HIH33" s="38"/>
      <c r="HII33" s="38"/>
      <c r="HIJ33" s="38"/>
      <c r="HIK33" s="38"/>
      <c r="HIL33" s="38"/>
      <c r="HIM33" s="38"/>
      <c r="HIN33" s="38"/>
      <c r="HIO33" s="38"/>
      <c r="HIP33" s="38"/>
      <c r="HIQ33" s="38"/>
      <c r="HIR33" s="38"/>
      <c r="HIS33" s="38"/>
      <c r="HIT33" s="38"/>
      <c r="HIU33" s="38"/>
      <c r="HIV33" s="38"/>
      <c r="HIW33" s="38"/>
      <c r="HIX33" s="38"/>
      <c r="HIY33" s="38"/>
      <c r="HIZ33" s="38"/>
      <c r="HJA33" s="38"/>
      <c r="HJB33" s="38"/>
      <c r="HJC33" s="38"/>
      <c r="HJD33" s="38"/>
      <c r="HJE33" s="38"/>
      <c r="HJF33" s="38"/>
      <c r="HJG33" s="38"/>
      <c r="HJH33" s="38"/>
      <c r="HJI33" s="38"/>
      <c r="HJJ33" s="38"/>
      <c r="HJK33" s="38"/>
      <c r="HJL33" s="38"/>
      <c r="HJM33" s="38"/>
      <c r="HJN33" s="38"/>
      <c r="HJO33" s="38"/>
      <c r="HJP33" s="38"/>
      <c r="HJQ33" s="38"/>
      <c r="HJR33" s="38"/>
      <c r="HJS33" s="38"/>
      <c r="HJT33" s="38"/>
      <c r="HJU33" s="38"/>
      <c r="HJV33" s="38"/>
      <c r="HJW33" s="38"/>
      <c r="HJX33" s="38"/>
      <c r="HJY33" s="38"/>
      <c r="HJZ33" s="38"/>
      <c r="HKA33" s="38"/>
      <c r="HKB33" s="38"/>
      <c r="HKC33" s="38"/>
      <c r="HKD33" s="38"/>
      <c r="HKE33" s="38"/>
      <c r="HKF33" s="38"/>
      <c r="HKG33" s="38"/>
      <c r="HKH33" s="38"/>
      <c r="HKI33" s="38"/>
      <c r="HKJ33" s="38"/>
      <c r="HKK33" s="38"/>
      <c r="HKL33" s="38"/>
      <c r="HKM33" s="38"/>
      <c r="HKN33" s="38"/>
      <c r="HKO33" s="38"/>
      <c r="HKP33" s="38"/>
      <c r="HKQ33" s="38"/>
      <c r="HKR33" s="38"/>
      <c r="HKS33" s="38"/>
      <c r="HKT33" s="38"/>
      <c r="HKU33" s="38"/>
      <c r="HKV33" s="38"/>
      <c r="HKW33" s="38"/>
      <c r="HKX33" s="38"/>
      <c r="HKY33" s="38"/>
      <c r="HKZ33" s="38"/>
      <c r="HLA33" s="38"/>
      <c r="HLB33" s="38"/>
      <c r="HLC33" s="38"/>
      <c r="HLD33" s="38"/>
      <c r="HLE33" s="38"/>
      <c r="HLF33" s="38"/>
      <c r="HLG33" s="38"/>
      <c r="HLH33" s="38"/>
      <c r="HLI33" s="38"/>
      <c r="HLJ33" s="38"/>
      <c r="HLK33" s="38"/>
      <c r="HLL33" s="38"/>
      <c r="HLM33" s="38"/>
      <c r="HLN33" s="38"/>
      <c r="HLO33" s="38"/>
      <c r="HLP33" s="38"/>
      <c r="HLQ33" s="38"/>
      <c r="HLR33" s="38"/>
      <c r="HLS33" s="38"/>
      <c r="HLT33" s="38"/>
      <c r="HLU33" s="38"/>
      <c r="HLV33" s="38"/>
      <c r="HLW33" s="38"/>
      <c r="HLX33" s="38"/>
      <c r="HLY33" s="38"/>
      <c r="HLZ33" s="38"/>
      <c r="HMA33" s="38"/>
      <c r="HMB33" s="38"/>
      <c r="HMC33" s="38"/>
      <c r="HMD33" s="38"/>
      <c r="HME33" s="38"/>
      <c r="HMF33" s="38"/>
      <c r="HMG33" s="38"/>
      <c r="HMH33" s="38"/>
      <c r="HMI33" s="38"/>
      <c r="HMJ33" s="38"/>
      <c r="HMK33" s="38"/>
      <c r="HML33" s="38"/>
      <c r="HMM33" s="38"/>
      <c r="HMN33" s="38"/>
      <c r="HMO33" s="38"/>
      <c r="HMP33" s="38"/>
      <c r="HMQ33" s="38"/>
      <c r="HMR33" s="38"/>
      <c r="HMS33" s="38"/>
      <c r="HMT33" s="38"/>
      <c r="HMU33" s="38"/>
      <c r="HMV33" s="38"/>
      <c r="HMW33" s="38"/>
      <c r="HMX33" s="38"/>
      <c r="HMY33" s="38"/>
      <c r="HMZ33" s="38"/>
      <c r="HNA33" s="38"/>
      <c r="HNB33" s="38"/>
      <c r="HNC33" s="38"/>
      <c r="HND33" s="38"/>
      <c r="HNE33" s="38"/>
      <c r="HNF33" s="38"/>
      <c r="HNG33" s="38"/>
      <c r="HNH33" s="38"/>
      <c r="HNI33" s="38"/>
      <c r="HNJ33" s="38"/>
      <c r="HNK33" s="38"/>
      <c r="HNL33" s="38"/>
      <c r="HNM33" s="38"/>
      <c r="HNN33" s="38"/>
      <c r="HNO33" s="38"/>
      <c r="HNP33" s="38"/>
      <c r="HNQ33" s="38"/>
      <c r="HNR33" s="38"/>
      <c r="HNS33" s="38"/>
      <c r="HNT33" s="38"/>
      <c r="HNU33" s="38"/>
      <c r="HNV33" s="38"/>
      <c r="HNW33" s="38"/>
      <c r="HNX33" s="38"/>
      <c r="HNY33" s="38"/>
      <c r="HNZ33" s="38"/>
      <c r="HOA33" s="38"/>
      <c r="HOB33" s="38"/>
      <c r="HOC33" s="38"/>
      <c r="HOD33" s="38"/>
      <c r="HOE33" s="38"/>
      <c r="HOF33" s="38"/>
      <c r="HOG33" s="38"/>
      <c r="HOH33" s="38"/>
      <c r="HOI33" s="38"/>
      <c r="HOJ33" s="38"/>
      <c r="HOK33" s="38"/>
      <c r="HOL33" s="38"/>
      <c r="HOM33" s="38"/>
      <c r="HON33" s="38"/>
      <c r="HOO33" s="38"/>
      <c r="HOP33" s="38"/>
      <c r="HOQ33" s="38"/>
      <c r="HOR33" s="38"/>
      <c r="HOS33" s="38"/>
      <c r="HOT33" s="38"/>
      <c r="HOU33" s="38"/>
      <c r="HOV33" s="38"/>
      <c r="HOW33" s="38"/>
      <c r="HOX33" s="38"/>
      <c r="HOY33" s="38"/>
      <c r="HOZ33" s="38"/>
      <c r="HPA33" s="38"/>
      <c r="HPB33" s="38"/>
      <c r="HPC33" s="38"/>
      <c r="HPD33" s="38"/>
      <c r="HPE33" s="38"/>
      <c r="HPF33" s="38"/>
      <c r="HPG33" s="38"/>
      <c r="HPH33" s="38"/>
      <c r="HPI33" s="38"/>
      <c r="HPJ33" s="38"/>
      <c r="HPK33" s="38"/>
      <c r="HPL33" s="38"/>
      <c r="HPM33" s="38"/>
      <c r="HPN33" s="38"/>
      <c r="HPO33" s="38"/>
      <c r="HPP33" s="38"/>
      <c r="HPQ33" s="38"/>
      <c r="HPR33" s="38"/>
      <c r="HPS33" s="38"/>
      <c r="HPT33" s="38"/>
      <c r="HPU33" s="38"/>
      <c r="HPV33" s="38"/>
      <c r="HPW33" s="38"/>
      <c r="HPX33" s="38"/>
      <c r="HPY33" s="38"/>
      <c r="HPZ33" s="38"/>
      <c r="HQA33" s="38"/>
      <c r="HQB33" s="38"/>
      <c r="HQC33" s="38"/>
      <c r="HQD33" s="38"/>
      <c r="HQE33" s="38"/>
      <c r="HQF33" s="38"/>
      <c r="HQG33" s="38"/>
      <c r="HQH33" s="38"/>
      <c r="HQI33" s="38"/>
      <c r="HQJ33" s="38"/>
      <c r="HQK33" s="38"/>
      <c r="HQL33" s="38"/>
      <c r="HQM33" s="38"/>
      <c r="HQN33" s="38"/>
      <c r="HQO33" s="38"/>
      <c r="HQP33" s="38"/>
      <c r="HQQ33" s="38"/>
      <c r="HQR33" s="38"/>
      <c r="HQS33" s="38"/>
      <c r="HQT33" s="38"/>
      <c r="HQU33" s="38"/>
      <c r="HQV33" s="38"/>
      <c r="HQW33" s="38"/>
      <c r="HQX33" s="38"/>
      <c r="HQY33" s="38"/>
      <c r="HQZ33" s="38"/>
      <c r="HRA33" s="38"/>
      <c r="HRB33" s="38"/>
      <c r="HRC33" s="38"/>
      <c r="HRD33" s="38"/>
      <c r="HRE33" s="38"/>
      <c r="HRF33" s="38"/>
      <c r="HRG33" s="38"/>
      <c r="HRH33" s="38"/>
      <c r="HRI33" s="38"/>
      <c r="HRJ33" s="38"/>
      <c r="HRK33" s="38"/>
      <c r="HRL33" s="38"/>
      <c r="HRM33" s="38"/>
      <c r="HRN33" s="38"/>
      <c r="HRO33" s="38"/>
      <c r="HRP33" s="38"/>
      <c r="HRQ33" s="38"/>
      <c r="HRR33" s="38"/>
      <c r="HRS33" s="38"/>
      <c r="HRT33" s="38"/>
      <c r="HRU33" s="38"/>
      <c r="HRV33" s="38"/>
      <c r="HRW33" s="38"/>
      <c r="HRX33" s="38"/>
      <c r="HRY33" s="38"/>
      <c r="HRZ33" s="38"/>
      <c r="HSA33" s="38"/>
      <c r="HSB33" s="38"/>
      <c r="HSC33" s="38"/>
      <c r="HSD33" s="38"/>
      <c r="HSE33" s="38"/>
      <c r="HSF33" s="38"/>
      <c r="HSG33" s="38"/>
      <c r="HSH33" s="38"/>
      <c r="HSI33" s="38"/>
      <c r="HSJ33" s="38"/>
      <c r="HSK33" s="38"/>
      <c r="HSL33" s="38"/>
      <c r="HSM33" s="38"/>
      <c r="HSN33" s="38"/>
      <c r="HSO33" s="38"/>
      <c r="HSP33" s="38"/>
      <c r="HSQ33" s="38"/>
      <c r="HSR33" s="38"/>
      <c r="HSS33" s="38"/>
      <c r="HST33" s="38"/>
      <c r="HSU33" s="38"/>
      <c r="HSV33" s="38"/>
      <c r="HSW33" s="38"/>
      <c r="HSX33" s="38"/>
      <c r="HSY33" s="38"/>
      <c r="HSZ33" s="38"/>
      <c r="HTA33" s="38"/>
      <c r="HTB33" s="38"/>
      <c r="HTC33" s="38"/>
      <c r="HTD33" s="38"/>
      <c r="HTE33" s="38"/>
      <c r="HTF33" s="38"/>
      <c r="HTG33" s="38"/>
      <c r="HTH33" s="38"/>
      <c r="HTI33" s="38"/>
      <c r="HTJ33" s="38"/>
      <c r="HTK33" s="38"/>
      <c r="HTL33" s="38"/>
      <c r="HTM33" s="38"/>
      <c r="HTN33" s="38"/>
      <c r="HTO33" s="38"/>
      <c r="HTP33" s="38"/>
      <c r="HTQ33" s="38"/>
      <c r="HTR33" s="38"/>
      <c r="HTS33" s="38"/>
      <c r="HTT33" s="38"/>
      <c r="HTU33" s="38"/>
      <c r="HTV33" s="38"/>
      <c r="HTW33" s="38"/>
      <c r="HTX33" s="38"/>
      <c r="HTY33" s="38"/>
      <c r="HTZ33" s="38"/>
      <c r="HUA33" s="38"/>
      <c r="HUB33" s="38"/>
      <c r="HUC33" s="38"/>
      <c r="HUD33" s="38"/>
      <c r="HUE33" s="38"/>
      <c r="HUF33" s="38"/>
      <c r="HUG33" s="38"/>
      <c r="HUH33" s="38"/>
      <c r="HUI33" s="38"/>
      <c r="HUJ33" s="38"/>
      <c r="HUK33" s="38"/>
      <c r="HUL33" s="38"/>
      <c r="HUM33" s="38"/>
      <c r="HUN33" s="38"/>
      <c r="HUO33" s="38"/>
      <c r="HUP33" s="38"/>
      <c r="HUQ33" s="38"/>
      <c r="HUR33" s="38"/>
      <c r="HUS33" s="38"/>
      <c r="HUT33" s="38"/>
      <c r="HUU33" s="38"/>
      <c r="HUV33" s="38"/>
      <c r="HUW33" s="38"/>
      <c r="HUX33" s="38"/>
      <c r="HUY33" s="38"/>
      <c r="HUZ33" s="38"/>
      <c r="HVA33" s="38"/>
      <c r="HVB33" s="38"/>
      <c r="HVC33" s="38"/>
      <c r="HVD33" s="38"/>
      <c r="HVE33" s="38"/>
      <c r="HVF33" s="38"/>
      <c r="HVG33" s="38"/>
      <c r="HVH33" s="38"/>
      <c r="HVI33" s="38"/>
      <c r="HVJ33" s="38"/>
      <c r="HVK33" s="38"/>
      <c r="HVL33" s="38"/>
      <c r="HVM33" s="38"/>
      <c r="HVN33" s="38"/>
      <c r="HVO33" s="38"/>
      <c r="HVP33" s="38"/>
      <c r="HVQ33" s="38"/>
      <c r="HVR33" s="38"/>
      <c r="HVS33" s="38"/>
      <c r="HVT33" s="38"/>
      <c r="HVU33" s="38"/>
      <c r="HVV33" s="38"/>
      <c r="HVW33" s="38"/>
      <c r="HVX33" s="38"/>
      <c r="HVY33" s="38"/>
      <c r="HVZ33" s="38"/>
      <c r="HWA33" s="38"/>
      <c r="HWB33" s="38"/>
      <c r="HWC33" s="38"/>
      <c r="HWD33" s="38"/>
      <c r="HWE33" s="38"/>
      <c r="HWF33" s="38"/>
      <c r="HWG33" s="38"/>
      <c r="HWH33" s="38"/>
      <c r="HWI33" s="38"/>
      <c r="HWJ33" s="38"/>
      <c r="HWK33" s="38"/>
      <c r="HWL33" s="38"/>
      <c r="HWM33" s="38"/>
      <c r="HWN33" s="38"/>
      <c r="HWO33" s="38"/>
      <c r="HWP33" s="38"/>
      <c r="HWQ33" s="38"/>
      <c r="HWR33" s="38"/>
      <c r="HWS33" s="38"/>
      <c r="HWT33" s="38"/>
      <c r="HWU33" s="38"/>
      <c r="HWV33" s="38"/>
      <c r="HWW33" s="38"/>
      <c r="HWX33" s="38"/>
      <c r="HWY33" s="38"/>
      <c r="HWZ33" s="38"/>
      <c r="HXA33" s="38"/>
      <c r="HXB33" s="38"/>
      <c r="HXC33" s="38"/>
      <c r="HXD33" s="38"/>
      <c r="HXE33" s="38"/>
      <c r="HXF33" s="38"/>
      <c r="HXG33" s="38"/>
      <c r="HXH33" s="38"/>
      <c r="HXI33" s="38"/>
      <c r="HXJ33" s="38"/>
      <c r="HXK33" s="38"/>
      <c r="HXL33" s="38"/>
      <c r="HXM33" s="38"/>
      <c r="HXN33" s="38"/>
      <c r="HXO33" s="38"/>
      <c r="HXP33" s="38"/>
      <c r="HXQ33" s="38"/>
      <c r="HXR33" s="38"/>
      <c r="HXS33" s="38"/>
      <c r="HXT33" s="38"/>
      <c r="HXU33" s="38"/>
      <c r="HXV33" s="38"/>
      <c r="HXW33" s="38"/>
      <c r="HXX33" s="38"/>
      <c r="HXY33" s="38"/>
      <c r="HXZ33" s="38"/>
      <c r="HYA33" s="38"/>
      <c r="HYB33" s="38"/>
      <c r="HYC33" s="38"/>
      <c r="HYD33" s="38"/>
      <c r="HYE33" s="38"/>
      <c r="HYF33" s="38"/>
      <c r="HYG33" s="38"/>
      <c r="HYH33" s="38"/>
      <c r="HYI33" s="38"/>
      <c r="HYJ33" s="38"/>
      <c r="HYK33" s="38"/>
      <c r="HYL33" s="38"/>
      <c r="HYM33" s="38"/>
      <c r="HYN33" s="38"/>
      <c r="HYO33" s="38"/>
      <c r="HYP33" s="38"/>
      <c r="HYQ33" s="38"/>
      <c r="HYR33" s="38"/>
      <c r="HYS33" s="38"/>
      <c r="HYT33" s="38"/>
      <c r="HYU33" s="38"/>
      <c r="HYV33" s="38"/>
      <c r="HYW33" s="38"/>
      <c r="HYX33" s="38"/>
      <c r="HYY33" s="38"/>
      <c r="HYZ33" s="38"/>
      <c r="HZA33" s="38"/>
      <c r="HZB33" s="38"/>
      <c r="HZC33" s="38"/>
      <c r="HZD33" s="38"/>
      <c r="HZE33" s="38"/>
      <c r="HZF33" s="38"/>
      <c r="HZG33" s="38"/>
      <c r="HZH33" s="38"/>
      <c r="HZI33" s="38"/>
      <c r="HZJ33" s="38"/>
      <c r="HZK33" s="38"/>
      <c r="HZL33" s="38"/>
      <c r="HZM33" s="38"/>
      <c r="HZN33" s="38"/>
      <c r="HZO33" s="38"/>
      <c r="HZP33" s="38"/>
      <c r="HZQ33" s="38"/>
      <c r="HZR33" s="38"/>
      <c r="HZS33" s="38"/>
      <c r="HZT33" s="38"/>
      <c r="HZU33" s="38"/>
      <c r="HZV33" s="38"/>
      <c r="HZW33" s="38"/>
      <c r="HZX33" s="38"/>
      <c r="HZY33" s="38"/>
      <c r="HZZ33" s="38"/>
      <c r="IAA33" s="38"/>
      <c r="IAB33" s="38"/>
      <c r="IAC33" s="38"/>
      <c r="IAD33" s="38"/>
      <c r="IAE33" s="38"/>
      <c r="IAF33" s="38"/>
      <c r="IAG33" s="38"/>
      <c r="IAH33" s="38"/>
      <c r="IAI33" s="38"/>
      <c r="IAJ33" s="38"/>
      <c r="IAK33" s="38"/>
      <c r="IAL33" s="38"/>
      <c r="IAM33" s="38"/>
      <c r="IAN33" s="38"/>
      <c r="IAO33" s="38"/>
      <c r="IAP33" s="38"/>
      <c r="IAQ33" s="38"/>
      <c r="IAR33" s="38"/>
      <c r="IAS33" s="38"/>
      <c r="IAT33" s="38"/>
      <c r="IAU33" s="38"/>
      <c r="IAV33" s="38"/>
      <c r="IAW33" s="38"/>
      <c r="IAX33" s="38"/>
      <c r="IAY33" s="38"/>
      <c r="IAZ33" s="38"/>
      <c r="IBA33" s="38"/>
      <c r="IBB33" s="38"/>
      <c r="IBC33" s="38"/>
      <c r="IBD33" s="38"/>
      <c r="IBE33" s="38"/>
      <c r="IBF33" s="38"/>
      <c r="IBG33" s="38"/>
      <c r="IBH33" s="38"/>
      <c r="IBI33" s="38"/>
      <c r="IBJ33" s="38"/>
      <c r="IBK33" s="38"/>
      <c r="IBL33" s="38"/>
      <c r="IBM33" s="38"/>
      <c r="IBN33" s="38"/>
      <c r="IBO33" s="38"/>
      <c r="IBP33" s="38"/>
      <c r="IBQ33" s="38"/>
      <c r="IBR33" s="38"/>
      <c r="IBS33" s="38"/>
      <c r="IBT33" s="38"/>
      <c r="IBU33" s="38"/>
      <c r="IBV33" s="38"/>
      <c r="IBW33" s="38"/>
      <c r="IBX33" s="38"/>
      <c r="IBY33" s="38"/>
      <c r="IBZ33" s="38"/>
      <c r="ICA33" s="38"/>
      <c r="ICB33" s="38"/>
      <c r="ICC33" s="38"/>
      <c r="ICD33" s="38"/>
      <c r="ICE33" s="38"/>
      <c r="ICF33" s="38"/>
      <c r="ICG33" s="38"/>
      <c r="ICH33" s="38"/>
      <c r="ICI33" s="38"/>
      <c r="ICJ33" s="38"/>
      <c r="ICK33" s="38"/>
      <c r="ICL33" s="38"/>
      <c r="ICM33" s="38"/>
      <c r="ICN33" s="38"/>
      <c r="ICO33" s="38"/>
      <c r="ICP33" s="38"/>
      <c r="ICQ33" s="38"/>
      <c r="ICR33" s="38"/>
      <c r="ICS33" s="38"/>
      <c r="ICT33" s="38"/>
      <c r="ICU33" s="38"/>
      <c r="ICV33" s="38"/>
      <c r="ICW33" s="38"/>
      <c r="ICX33" s="38"/>
      <c r="ICY33" s="38"/>
      <c r="ICZ33" s="38"/>
      <c r="IDA33" s="38"/>
      <c r="IDB33" s="38"/>
      <c r="IDC33" s="38"/>
      <c r="IDD33" s="38"/>
      <c r="IDE33" s="38"/>
      <c r="IDF33" s="38"/>
      <c r="IDG33" s="38"/>
      <c r="IDH33" s="38"/>
      <c r="IDI33" s="38"/>
      <c r="IDJ33" s="38"/>
      <c r="IDK33" s="38"/>
      <c r="IDL33" s="38"/>
      <c r="IDM33" s="38"/>
      <c r="IDN33" s="38"/>
      <c r="IDO33" s="38"/>
      <c r="IDP33" s="38"/>
      <c r="IDQ33" s="38"/>
      <c r="IDR33" s="38"/>
      <c r="IDS33" s="38"/>
      <c r="IDT33" s="38"/>
      <c r="IDU33" s="38"/>
      <c r="IDV33" s="38"/>
      <c r="IDW33" s="38"/>
      <c r="IDX33" s="38"/>
      <c r="IDY33" s="38"/>
      <c r="IDZ33" s="38"/>
      <c r="IEA33" s="38"/>
      <c r="IEB33" s="38"/>
      <c r="IEC33" s="38"/>
      <c r="IED33" s="38"/>
      <c r="IEE33" s="38"/>
      <c r="IEF33" s="38"/>
      <c r="IEG33" s="38"/>
      <c r="IEH33" s="38"/>
      <c r="IEI33" s="38"/>
      <c r="IEJ33" s="38"/>
      <c r="IEK33" s="38"/>
      <c r="IEL33" s="38"/>
      <c r="IEM33" s="38"/>
      <c r="IEN33" s="38"/>
      <c r="IEO33" s="38"/>
      <c r="IEP33" s="38"/>
      <c r="IEQ33" s="38"/>
      <c r="IER33" s="38"/>
      <c r="IES33" s="38"/>
      <c r="IET33" s="38"/>
      <c r="IEU33" s="38"/>
      <c r="IEV33" s="38"/>
      <c r="IEW33" s="38"/>
      <c r="IEX33" s="38"/>
      <c r="IEY33" s="38"/>
      <c r="IEZ33" s="38"/>
      <c r="IFA33" s="38"/>
      <c r="IFB33" s="38"/>
      <c r="IFC33" s="38"/>
      <c r="IFD33" s="38"/>
      <c r="IFE33" s="38"/>
      <c r="IFF33" s="38"/>
      <c r="IFG33" s="38"/>
      <c r="IFH33" s="38"/>
      <c r="IFI33" s="38"/>
      <c r="IFJ33" s="38"/>
      <c r="IFK33" s="38"/>
      <c r="IFL33" s="38"/>
      <c r="IFM33" s="38"/>
      <c r="IFN33" s="38"/>
      <c r="IFO33" s="38"/>
      <c r="IFP33" s="38"/>
      <c r="IFQ33" s="38"/>
      <c r="IFR33" s="38"/>
      <c r="IFS33" s="38"/>
      <c r="IFT33" s="38"/>
      <c r="IFU33" s="38"/>
      <c r="IFV33" s="38"/>
      <c r="IFW33" s="38"/>
      <c r="IFX33" s="38"/>
      <c r="IFY33" s="38"/>
      <c r="IFZ33" s="38"/>
      <c r="IGA33" s="38"/>
      <c r="IGB33" s="38"/>
      <c r="IGC33" s="38"/>
      <c r="IGD33" s="38"/>
      <c r="IGE33" s="38"/>
      <c r="IGF33" s="38"/>
      <c r="IGG33" s="38"/>
      <c r="IGH33" s="38"/>
      <c r="IGI33" s="38"/>
      <c r="IGJ33" s="38"/>
      <c r="IGK33" s="38"/>
      <c r="IGL33" s="38"/>
      <c r="IGM33" s="38"/>
      <c r="IGN33" s="38"/>
      <c r="IGO33" s="38"/>
      <c r="IGP33" s="38"/>
      <c r="IGQ33" s="38"/>
      <c r="IGR33" s="38"/>
      <c r="IGS33" s="38"/>
      <c r="IGT33" s="38"/>
      <c r="IGU33" s="38"/>
      <c r="IGV33" s="38"/>
      <c r="IGW33" s="38"/>
      <c r="IGX33" s="38"/>
      <c r="IGY33" s="38"/>
      <c r="IGZ33" s="38"/>
      <c r="IHA33" s="38"/>
      <c r="IHB33" s="38"/>
      <c r="IHC33" s="38"/>
      <c r="IHD33" s="38"/>
      <c r="IHE33" s="38"/>
      <c r="IHF33" s="38"/>
      <c r="IHG33" s="38"/>
      <c r="IHH33" s="38"/>
      <c r="IHI33" s="38"/>
      <c r="IHJ33" s="38"/>
      <c r="IHK33" s="38"/>
      <c r="IHL33" s="38"/>
      <c r="IHM33" s="38"/>
      <c r="IHN33" s="38"/>
      <c r="IHO33" s="38"/>
      <c r="IHP33" s="38"/>
      <c r="IHQ33" s="38"/>
      <c r="IHR33" s="38"/>
      <c r="IHS33" s="38"/>
      <c r="IHT33" s="38"/>
      <c r="IHU33" s="38"/>
      <c r="IHV33" s="38"/>
      <c r="IHW33" s="38"/>
      <c r="IHX33" s="38"/>
      <c r="IHY33" s="38"/>
      <c r="IHZ33" s="38"/>
      <c r="IIA33" s="38"/>
      <c r="IIB33" s="38"/>
      <c r="IIC33" s="38"/>
      <c r="IID33" s="38"/>
      <c r="IIE33" s="38"/>
      <c r="IIF33" s="38"/>
      <c r="IIG33" s="38"/>
      <c r="IIH33" s="38"/>
      <c r="III33" s="38"/>
      <c r="IIJ33" s="38"/>
      <c r="IIK33" s="38"/>
      <c r="IIL33" s="38"/>
      <c r="IIM33" s="38"/>
      <c r="IIN33" s="38"/>
      <c r="IIO33" s="38"/>
      <c r="IIP33" s="38"/>
      <c r="IIQ33" s="38"/>
      <c r="IIR33" s="38"/>
      <c r="IIS33" s="38"/>
      <c r="IIT33" s="38"/>
      <c r="IIU33" s="38"/>
      <c r="IIV33" s="38"/>
      <c r="IIW33" s="38"/>
      <c r="IIX33" s="38"/>
      <c r="IIY33" s="38"/>
      <c r="IIZ33" s="38"/>
      <c r="IJA33" s="38"/>
      <c r="IJB33" s="38"/>
      <c r="IJC33" s="38"/>
      <c r="IJD33" s="38"/>
      <c r="IJE33" s="38"/>
      <c r="IJF33" s="38"/>
      <c r="IJG33" s="38"/>
      <c r="IJH33" s="38"/>
      <c r="IJI33" s="38"/>
      <c r="IJJ33" s="38"/>
      <c r="IJK33" s="38"/>
      <c r="IJL33" s="38"/>
      <c r="IJM33" s="38"/>
      <c r="IJN33" s="38"/>
      <c r="IJO33" s="38"/>
      <c r="IJP33" s="38"/>
      <c r="IJQ33" s="38"/>
      <c r="IJR33" s="38"/>
      <c r="IJS33" s="38"/>
      <c r="IJT33" s="38"/>
      <c r="IJU33" s="38"/>
      <c r="IJV33" s="38"/>
      <c r="IJW33" s="38"/>
      <c r="IJX33" s="38"/>
      <c r="IJY33" s="38"/>
      <c r="IJZ33" s="38"/>
      <c r="IKA33" s="38"/>
      <c r="IKB33" s="38"/>
      <c r="IKC33" s="38"/>
      <c r="IKD33" s="38"/>
      <c r="IKE33" s="38"/>
      <c r="IKF33" s="38"/>
      <c r="IKG33" s="38"/>
      <c r="IKH33" s="38"/>
      <c r="IKI33" s="38"/>
      <c r="IKJ33" s="38"/>
      <c r="IKK33" s="38"/>
      <c r="IKL33" s="38"/>
      <c r="IKM33" s="38"/>
      <c r="IKN33" s="38"/>
      <c r="IKO33" s="38"/>
      <c r="IKP33" s="38"/>
      <c r="IKQ33" s="38"/>
      <c r="IKR33" s="38"/>
      <c r="IKS33" s="38"/>
      <c r="IKT33" s="38"/>
      <c r="IKU33" s="38"/>
      <c r="IKV33" s="38"/>
      <c r="IKW33" s="38"/>
      <c r="IKX33" s="38"/>
      <c r="IKY33" s="38"/>
      <c r="IKZ33" s="38"/>
      <c r="ILA33" s="38"/>
      <c r="ILB33" s="38"/>
      <c r="ILC33" s="38"/>
      <c r="ILD33" s="38"/>
      <c r="ILE33" s="38"/>
      <c r="ILF33" s="38"/>
      <c r="ILG33" s="38"/>
      <c r="ILH33" s="38"/>
      <c r="ILI33" s="38"/>
      <c r="ILJ33" s="38"/>
      <c r="ILK33" s="38"/>
      <c r="ILL33" s="38"/>
      <c r="ILM33" s="38"/>
      <c r="ILN33" s="38"/>
      <c r="ILO33" s="38"/>
      <c r="ILP33" s="38"/>
      <c r="ILQ33" s="38"/>
      <c r="ILR33" s="38"/>
      <c r="ILS33" s="38"/>
      <c r="ILT33" s="38"/>
      <c r="ILU33" s="38"/>
      <c r="ILV33" s="38"/>
      <c r="ILW33" s="38"/>
      <c r="ILX33" s="38"/>
      <c r="ILY33" s="38"/>
      <c r="ILZ33" s="38"/>
      <c r="IMA33" s="38"/>
      <c r="IMB33" s="38"/>
      <c r="IMC33" s="38"/>
      <c r="IMD33" s="38"/>
      <c r="IME33" s="38"/>
      <c r="IMF33" s="38"/>
      <c r="IMG33" s="38"/>
      <c r="IMH33" s="38"/>
      <c r="IMI33" s="38"/>
      <c r="IMJ33" s="38"/>
      <c r="IMK33" s="38"/>
      <c r="IML33" s="38"/>
      <c r="IMM33" s="38"/>
      <c r="IMN33" s="38"/>
      <c r="IMO33" s="38"/>
      <c r="IMP33" s="38"/>
      <c r="IMQ33" s="38"/>
      <c r="IMR33" s="38"/>
      <c r="IMS33" s="38"/>
      <c r="IMT33" s="38"/>
      <c r="IMU33" s="38"/>
      <c r="IMV33" s="38"/>
      <c r="IMW33" s="38"/>
      <c r="IMX33" s="38"/>
      <c r="IMY33" s="38"/>
      <c r="IMZ33" s="38"/>
      <c r="INA33" s="38"/>
      <c r="INB33" s="38"/>
      <c r="INC33" s="38"/>
      <c r="IND33" s="38"/>
      <c r="INE33" s="38"/>
      <c r="INF33" s="38"/>
      <c r="ING33" s="38"/>
      <c r="INH33" s="38"/>
      <c r="INI33" s="38"/>
      <c r="INJ33" s="38"/>
      <c r="INK33" s="38"/>
      <c r="INL33" s="38"/>
      <c r="INM33" s="38"/>
      <c r="INN33" s="38"/>
      <c r="INO33" s="38"/>
      <c r="INP33" s="38"/>
      <c r="INQ33" s="38"/>
      <c r="INR33" s="38"/>
      <c r="INS33" s="38"/>
      <c r="INT33" s="38"/>
      <c r="INU33" s="38"/>
      <c r="INV33" s="38"/>
      <c r="INW33" s="38"/>
      <c r="INX33" s="38"/>
      <c r="INY33" s="38"/>
      <c r="INZ33" s="38"/>
      <c r="IOA33" s="38"/>
      <c r="IOB33" s="38"/>
      <c r="IOC33" s="38"/>
      <c r="IOD33" s="38"/>
      <c r="IOE33" s="38"/>
      <c r="IOF33" s="38"/>
      <c r="IOG33" s="38"/>
      <c r="IOH33" s="38"/>
      <c r="IOI33" s="38"/>
      <c r="IOJ33" s="38"/>
      <c r="IOK33" s="38"/>
      <c r="IOL33" s="38"/>
      <c r="IOM33" s="38"/>
      <c r="ION33" s="38"/>
      <c r="IOO33" s="38"/>
      <c r="IOP33" s="38"/>
      <c r="IOQ33" s="38"/>
      <c r="IOR33" s="38"/>
      <c r="IOS33" s="38"/>
      <c r="IOT33" s="38"/>
      <c r="IOU33" s="38"/>
      <c r="IOV33" s="38"/>
      <c r="IOW33" s="38"/>
      <c r="IOX33" s="38"/>
      <c r="IOY33" s="38"/>
      <c r="IOZ33" s="38"/>
      <c r="IPA33" s="38"/>
      <c r="IPB33" s="38"/>
      <c r="IPC33" s="38"/>
      <c r="IPD33" s="38"/>
      <c r="IPE33" s="38"/>
      <c r="IPF33" s="38"/>
      <c r="IPG33" s="38"/>
      <c r="IPH33" s="38"/>
      <c r="IPI33" s="38"/>
      <c r="IPJ33" s="38"/>
      <c r="IPK33" s="38"/>
      <c r="IPL33" s="38"/>
      <c r="IPM33" s="38"/>
      <c r="IPN33" s="38"/>
      <c r="IPO33" s="38"/>
      <c r="IPP33" s="38"/>
      <c r="IPQ33" s="38"/>
      <c r="IPR33" s="38"/>
      <c r="IPS33" s="38"/>
      <c r="IPT33" s="38"/>
      <c r="IPU33" s="38"/>
      <c r="IPV33" s="38"/>
      <c r="IPW33" s="38"/>
      <c r="IPX33" s="38"/>
      <c r="IPY33" s="38"/>
      <c r="IPZ33" s="38"/>
      <c r="IQA33" s="38"/>
      <c r="IQB33" s="38"/>
      <c r="IQC33" s="38"/>
      <c r="IQD33" s="38"/>
      <c r="IQE33" s="38"/>
      <c r="IQF33" s="38"/>
      <c r="IQG33" s="38"/>
      <c r="IQH33" s="38"/>
      <c r="IQI33" s="38"/>
      <c r="IQJ33" s="38"/>
      <c r="IQK33" s="38"/>
      <c r="IQL33" s="38"/>
      <c r="IQM33" s="38"/>
      <c r="IQN33" s="38"/>
      <c r="IQO33" s="38"/>
      <c r="IQP33" s="38"/>
      <c r="IQQ33" s="38"/>
      <c r="IQR33" s="38"/>
      <c r="IQS33" s="38"/>
      <c r="IQT33" s="38"/>
      <c r="IQU33" s="38"/>
      <c r="IQV33" s="38"/>
      <c r="IQW33" s="38"/>
      <c r="IQX33" s="38"/>
      <c r="IQY33" s="38"/>
      <c r="IQZ33" s="38"/>
      <c r="IRA33" s="38"/>
      <c r="IRB33" s="38"/>
      <c r="IRC33" s="38"/>
      <c r="IRD33" s="38"/>
      <c r="IRE33" s="38"/>
      <c r="IRF33" s="38"/>
      <c r="IRG33" s="38"/>
      <c r="IRH33" s="38"/>
      <c r="IRI33" s="38"/>
      <c r="IRJ33" s="38"/>
      <c r="IRK33" s="38"/>
      <c r="IRL33" s="38"/>
      <c r="IRM33" s="38"/>
      <c r="IRN33" s="38"/>
      <c r="IRO33" s="38"/>
      <c r="IRP33" s="38"/>
      <c r="IRQ33" s="38"/>
      <c r="IRR33" s="38"/>
      <c r="IRS33" s="38"/>
      <c r="IRT33" s="38"/>
      <c r="IRU33" s="38"/>
      <c r="IRV33" s="38"/>
      <c r="IRW33" s="38"/>
      <c r="IRX33" s="38"/>
      <c r="IRY33" s="38"/>
      <c r="IRZ33" s="38"/>
      <c r="ISA33" s="38"/>
      <c r="ISB33" s="38"/>
      <c r="ISC33" s="38"/>
      <c r="ISD33" s="38"/>
      <c r="ISE33" s="38"/>
      <c r="ISF33" s="38"/>
      <c r="ISG33" s="38"/>
      <c r="ISH33" s="38"/>
      <c r="ISI33" s="38"/>
      <c r="ISJ33" s="38"/>
      <c r="ISK33" s="38"/>
      <c r="ISL33" s="38"/>
      <c r="ISM33" s="38"/>
      <c r="ISN33" s="38"/>
      <c r="ISO33" s="38"/>
      <c r="ISP33" s="38"/>
      <c r="ISQ33" s="38"/>
      <c r="ISR33" s="38"/>
      <c r="ISS33" s="38"/>
      <c r="IST33" s="38"/>
      <c r="ISU33" s="38"/>
      <c r="ISV33" s="38"/>
      <c r="ISW33" s="38"/>
      <c r="ISX33" s="38"/>
      <c r="ISY33" s="38"/>
      <c r="ISZ33" s="38"/>
      <c r="ITA33" s="38"/>
      <c r="ITB33" s="38"/>
      <c r="ITC33" s="38"/>
      <c r="ITD33" s="38"/>
      <c r="ITE33" s="38"/>
      <c r="ITF33" s="38"/>
      <c r="ITG33" s="38"/>
      <c r="ITH33" s="38"/>
      <c r="ITI33" s="38"/>
      <c r="ITJ33" s="38"/>
      <c r="ITK33" s="38"/>
      <c r="ITL33" s="38"/>
      <c r="ITM33" s="38"/>
      <c r="ITN33" s="38"/>
      <c r="ITO33" s="38"/>
      <c r="ITP33" s="38"/>
      <c r="ITQ33" s="38"/>
      <c r="ITR33" s="38"/>
      <c r="ITS33" s="38"/>
      <c r="ITT33" s="38"/>
      <c r="ITU33" s="38"/>
      <c r="ITV33" s="38"/>
      <c r="ITW33" s="38"/>
      <c r="ITX33" s="38"/>
      <c r="ITY33" s="38"/>
      <c r="ITZ33" s="38"/>
      <c r="IUA33" s="38"/>
      <c r="IUB33" s="38"/>
      <c r="IUC33" s="38"/>
      <c r="IUD33" s="38"/>
      <c r="IUE33" s="38"/>
      <c r="IUF33" s="38"/>
      <c r="IUG33" s="38"/>
      <c r="IUH33" s="38"/>
      <c r="IUI33" s="38"/>
      <c r="IUJ33" s="38"/>
      <c r="IUK33" s="38"/>
      <c r="IUL33" s="38"/>
      <c r="IUM33" s="38"/>
      <c r="IUN33" s="38"/>
      <c r="IUO33" s="38"/>
      <c r="IUP33" s="38"/>
      <c r="IUQ33" s="38"/>
      <c r="IUR33" s="38"/>
      <c r="IUS33" s="38"/>
      <c r="IUT33" s="38"/>
      <c r="IUU33" s="38"/>
      <c r="IUV33" s="38"/>
      <c r="IUW33" s="38"/>
      <c r="IUX33" s="38"/>
      <c r="IUY33" s="38"/>
      <c r="IUZ33" s="38"/>
      <c r="IVA33" s="38"/>
      <c r="IVB33" s="38"/>
      <c r="IVC33" s="38"/>
      <c r="IVD33" s="38"/>
      <c r="IVE33" s="38"/>
      <c r="IVF33" s="38"/>
      <c r="IVG33" s="38"/>
      <c r="IVH33" s="38"/>
      <c r="IVI33" s="38"/>
      <c r="IVJ33" s="38"/>
      <c r="IVK33" s="38"/>
      <c r="IVL33" s="38"/>
      <c r="IVM33" s="38"/>
      <c r="IVN33" s="38"/>
      <c r="IVO33" s="38"/>
      <c r="IVP33" s="38"/>
      <c r="IVQ33" s="38"/>
      <c r="IVR33" s="38"/>
      <c r="IVS33" s="38"/>
      <c r="IVT33" s="38"/>
      <c r="IVU33" s="38"/>
      <c r="IVV33" s="38"/>
      <c r="IVW33" s="38"/>
      <c r="IVX33" s="38"/>
      <c r="IVY33" s="38"/>
      <c r="IVZ33" s="38"/>
      <c r="IWA33" s="38"/>
      <c r="IWB33" s="38"/>
      <c r="IWC33" s="38"/>
      <c r="IWD33" s="38"/>
      <c r="IWE33" s="38"/>
      <c r="IWF33" s="38"/>
      <c r="IWG33" s="38"/>
      <c r="IWH33" s="38"/>
      <c r="IWI33" s="38"/>
      <c r="IWJ33" s="38"/>
      <c r="IWK33" s="38"/>
      <c r="IWL33" s="38"/>
      <c r="IWM33" s="38"/>
      <c r="IWN33" s="38"/>
      <c r="IWO33" s="38"/>
      <c r="IWP33" s="38"/>
      <c r="IWQ33" s="38"/>
      <c r="IWR33" s="38"/>
      <c r="IWS33" s="38"/>
      <c r="IWT33" s="38"/>
      <c r="IWU33" s="38"/>
      <c r="IWV33" s="38"/>
      <c r="IWW33" s="38"/>
      <c r="IWX33" s="38"/>
      <c r="IWY33" s="38"/>
      <c r="IWZ33" s="38"/>
      <c r="IXA33" s="38"/>
      <c r="IXB33" s="38"/>
      <c r="IXC33" s="38"/>
      <c r="IXD33" s="38"/>
      <c r="IXE33" s="38"/>
      <c r="IXF33" s="38"/>
      <c r="IXG33" s="38"/>
      <c r="IXH33" s="38"/>
      <c r="IXI33" s="38"/>
      <c r="IXJ33" s="38"/>
      <c r="IXK33" s="38"/>
      <c r="IXL33" s="38"/>
      <c r="IXM33" s="38"/>
      <c r="IXN33" s="38"/>
      <c r="IXO33" s="38"/>
      <c r="IXP33" s="38"/>
      <c r="IXQ33" s="38"/>
      <c r="IXR33" s="38"/>
      <c r="IXS33" s="38"/>
      <c r="IXT33" s="38"/>
      <c r="IXU33" s="38"/>
      <c r="IXV33" s="38"/>
      <c r="IXW33" s="38"/>
      <c r="IXX33" s="38"/>
      <c r="IXY33" s="38"/>
      <c r="IXZ33" s="38"/>
      <c r="IYA33" s="38"/>
      <c r="IYB33" s="38"/>
      <c r="IYC33" s="38"/>
      <c r="IYD33" s="38"/>
      <c r="IYE33" s="38"/>
      <c r="IYF33" s="38"/>
      <c r="IYG33" s="38"/>
      <c r="IYH33" s="38"/>
      <c r="IYI33" s="38"/>
      <c r="IYJ33" s="38"/>
      <c r="IYK33" s="38"/>
      <c r="IYL33" s="38"/>
      <c r="IYM33" s="38"/>
      <c r="IYN33" s="38"/>
      <c r="IYO33" s="38"/>
      <c r="IYP33" s="38"/>
      <c r="IYQ33" s="38"/>
      <c r="IYR33" s="38"/>
      <c r="IYS33" s="38"/>
      <c r="IYT33" s="38"/>
      <c r="IYU33" s="38"/>
      <c r="IYV33" s="38"/>
      <c r="IYW33" s="38"/>
      <c r="IYX33" s="38"/>
      <c r="IYY33" s="38"/>
      <c r="IYZ33" s="38"/>
      <c r="IZA33" s="38"/>
      <c r="IZB33" s="38"/>
      <c r="IZC33" s="38"/>
      <c r="IZD33" s="38"/>
      <c r="IZE33" s="38"/>
      <c r="IZF33" s="38"/>
      <c r="IZG33" s="38"/>
      <c r="IZH33" s="38"/>
      <c r="IZI33" s="38"/>
      <c r="IZJ33" s="38"/>
      <c r="IZK33" s="38"/>
      <c r="IZL33" s="38"/>
      <c r="IZM33" s="38"/>
      <c r="IZN33" s="38"/>
      <c r="IZO33" s="38"/>
      <c r="IZP33" s="38"/>
      <c r="IZQ33" s="38"/>
      <c r="IZR33" s="38"/>
      <c r="IZS33" s="38"/>
      <c r="IZT33" s="38"/>
      <c r="IZU33" s="38"/>
      <c r="IZV33" s="38"/>
      <c r="IZW33" s="38"/>
      <c r="IZX33" s="38"/>
      <c r="IZY33" s="38"/>
      <c r="IZZ33" s="38"/>
      <c r="JAA33" s="38"/>
      <c r="JAB33" s="38"/>
      <c r="JAC33" s="38"/>
      <c r="JAD33" s="38"/>
      <c r="JAE33" s="38"/>
      <c r="JAF33" s="38"/>
      <c r="JAG33" s="38"/>
      <c r="JAH33" s="38"/>
      <c r="JAI33" s="38"/>
      <c r="JAJ33" s="38"/>
      <c r="JAK33" s="38"/>
      <c r="JAL33" s="38"/>
      <c r="JAM33" s="38"/>
      <c r="JAN33" s="38"/>
      <c r="JAO33" s="38"/>
      <c r="JAP33" s="38"/>
      <c r="JAQ33" s="38"/>
      <c r="JAR33" s="38"/>
      <c r="JAS33" s="38"/>
      <c r="JAT33" s="38"/>
      <c r="JAU33" s="38"/>
      <c r="JAV33" s="38"/>
      <c r="JAW33" s="38"/>
      <c r="JAX33" s="38"/>
      <c r="JAY33" s="38"/>
      <c r="JAZ33" s="38"/>
      <c r="JBA33" s="38"/>
      <c r="JBB33" s="38"/>
      <c r="JBC33" s="38"/>
      <c r="JBD33" s="38"/>
      <c r="JBE33" s="38"/>
      <c r="JBF33" s="38"/>
      <c r="JBG33" s="38"/>
      <c r="JBH33" s="38"/>
      <c r="JBI33" s="38"/>
      <c r="JBJ33" s="38"/>
      <c r="JBK33" s="38"/>
      <c r="JBL33" s="38"/>
      <c r="JBM33" s="38"/>
      <c r="JBN33" s="38"/>
      <c r="JBO33" s="38"/>
      <c r="JBP33" s="38"/>
      <c r="JBQ33" s="38"/>
      <c r="JBR33" s="38"/>
      <c r="JBS33" s="38"/>
      <c r="JBT33" s="38"/>
      <c r="JBU33" s="38"/>
      <c r="JBV33" s="38"/>
      <c r="JBW33" s="38"/>
      <c r="JBX33" s="38"/>
      <c r="JBY33" s="38"/>
      <c r="JBZ33" s="38"/>
      <c r="JCA33" s="38"/>
      <c r="JCB33" s="38"/>
      <c r="JCC33" s="38"/>
      <c r="JCD33" s="38"/>
      <c r="JCE33" s="38"/>
      <c r="JCF33" s="38"/>
      <c r="JCG33" s="38"/>
      <c r="JCH33" s="38"/>
      <c r="JCI33" s="38"/>
      <c r="JCJ33" s="38"/>
      <c r="JCK33" s="38"/>
      <c r="JCL33" s="38"/>
      <c r="JCM33" s="38"/>
      <c r="JCN33" s="38"/>
      <c r="JCO33" s="38"/>
      <c r="JCP33" s="38"/>
      <c r="JCQ33" s="38"/>
      <c r="JCR33" s="38"/>
      <c r="JCS33" s="38"/>
      <c r="JCT33" s="38"/>
      <c r="JCU33" s="38"/>
      <c r="JCV33" s="38"/>
      <c r="JCW33" s="38"/>
      <c r="JCX33" s="38"/>
      <c r="JCY33" s="38"/>
      <c r="JCZ33" s="38"/>
      <c r="JDA33" s="38"/>
      <c r="JDB33" s="38"/>
      <c r="JDC33" s="38"/>
      <c r="JDD33" s="38"/>
      <c r="JDE33" s="38"/>
      <c r="JDF33" s="38"/>
      <c r="JDG33" s="38"/>
      <c r="JDH33" s="38"/>
      <c r="JDI33" s="38"/>
      <c r="JDJ33" s="38"/>
      <c r="JDK33" s="38"/>
      <c r="JDL33" s="38"/>
      <c r="JDM33" s="38"/>
      <c r="JDN33" s="38"/>
      <c r="JDO33" s="38"/>
      <c r="JDP33" s="38"/>
      <c r="JDQ33" s="38"/>
      <c r="JDR33" s="38"/>
      <c r="JDS33" s="38"/>
      <c r="JDT33" s="38"/>
      <c r="JDU33" s="38"/>
      <c r="JDV33" s="38"/>
      <c r="JDW33" s="38"/>
      <c r="JDX33" s="38"/>
      <c r="JDY33" s="38"/>
      <c r="JDZ33" s="38"/>
      <c r="JEA33" s="38"/>
      <c r="JEB33" s="38"/>
      <c r="JEC33" s="38"/>
      <c r="JED33" s="38"/>
      <c r="JEE33" s="38"/>
      <c r="JEF33" s="38"/>
      <c r="JEG33" s="38"/>
      <c r="JEH33" s="38"/>
      <c r="JEI33" s="38"/>
      <c r="JEJ33" s="38"/>
      <c r="JEK33" s="38"/>
      <c r="JEL33" s="38"/>
      <c r="JEM33" s="38"/>
      <c r="JEN33" s="38"/>
      <c r="JEO33" s="38"/>
      <c r="JEP33" s="38"/>
      <c r="JEQ33" s="38"/>
      <c r="JER33" s="38"/>
      <c r="JES33" s="38"/>
      <c r="JET33" s="38"/>
      <c r="JEU33" s="38"/>
      <c r="JEV33" s="38"/>
      <c r="JEW33" s="38"/>
      <c r="JEX33" s="38"/>
      <c r="JEY33" s="38"/>
      <c r="JEZ33" s="38"/>
      <c r="JFA33" s="38"/>
      <c r="JFB33" s="38"/>
      <c r="JFC33" s="38"/>
      <c r="JFD33" s="38"/>
      <c r="JFE33" s="38"/>
      <c r="JFF33" s="38"/>
      <c r="JFG33" s="38"/>
      <c r="JFH33" s="38"/>
      <c r="JFI33" s="38"/>
      <c r="JFJ33" s="38"/>
      <c r="JFK33" s="38"/>
      <c r="JFL33" s="38"/>
      <c r="JFM33" s="38"/>
      <c r="JFN33" s="38"/>
      <c r="JFO33" s="38"/>
      <c r="JFP33" s="38"/>
      <c r="JFQ33" s="38"/>
      <c r="JFR33" s="38"/>
      <c r="JFS33" s="38"/>
      <c r="JFT33" s="38"/>
      <c r="JFU33" s="38"/>
      <c r="JFV33" s="38"/>
      <c r="JFW33" s="38"/>
      <c r="JFX33" s="38"/>
      <c r="JFY33" s="38"/>
      <c r="JFZ33" s="38"/>
      <c r="JGA33" s="38"/>
      <c r="JGB33" s="38"/>
      <c r="JGC33" s="38"/>
      <c r="JGD33" s="38"/>
      <c r="JGE33" s="38"/>
      <c r="JGF33" s="38"/>
      <c r="JGG33" s="38"/>
      <c r="JGH33" s="38"/>
      <c r="JGI33" s="38"/>
      <c r="JGJ33" s="38"/>
      <c r="JGK33" s="38"/>
      <c r="JGL33" s="38"/>
      <c r="JGM33" s="38"/>
      <c r="JGN33" s="38"/>
      <c r="JGO33" s="38"/>
      <c r="JGP33" s="38"/>
      <c r="JGQ33" s="38"/>
      <c r="JGR33" s="38"/>
      <c r="JGS33" s="38"/>
      <c r="JGT33" s="38"/>
      <c r="JGU33" s="38"/>
      <c r="JGV33" s="38"/>
      <c r="JGW33" s="38"/>
      <c r="JGX33" s="38"/>
      <c r="JGY33" s="38"/>
      <c r="JGZ33" s="38"/>
      <c r="JHA33" s="38"/>
      <c r="JHB33" s="38"/>
      <c r="JHC33" s="38"/>
      <c r="JHD33" s="38"/>
      <c r="JHE33" s="38"/>
      <c r="JHF33" s="38"/>
      <c r="JHG33" s="38"/>
      <c r="JHH33" s="38"/>
      <c r="JHI33" s="38"/>
      <c r="JHJ33" s="38"/>
      <c r="JHK33" s="38"/>
      <c r="JHL33" s="38"/>
      <c r="JHM33" s="38"/>
      <c r="JHN33" s="38"/>
      <c r="JHO33" s="38"/>
      <c r="JHP33" s="38"/>
      <c r="JHQ33" s="38"/>
      <c r="JHR33" s="38"/>
      <c r="JHS33" s="38"/>
      <c r="JHT33" s="38"/>
      <c r="JHU33" s="38"/>
      <c r="JHV33" s="38"/>
      <c r="JHW33" s="38"/>
      <c r="JHX33" s="38"/>
      <c r="JHY33" s="38"/>
      <c r="JHZ33" s="38"/>
      <c r="JIA33" s="38"/>
      <c r="JIB33" s="38"/>
      <c r="JIC33" s="38"/>
      <c r="JID33" s="38"/>
      <c r="JIE33" s="38"/>
      <c r="JIF33" s="38"/>
      <c r="JIG33" s="38"/>
      <c r="JIH33" s="38"/>
      <c r="JII33" s="38"/>
      <c r="JIJ33" s="38"/>
      <c r="JIK33" s="38"/>
      <c r="JIL33" s="38"/>
      <c r="JIM33" s="38"/>
      <c r="JIN33" s="38"/>
      <c r="JIO33" s="38"/>
      <c r="JIP33" s="38"/>
      <c r="JIQ33" s="38"/>
      <c r="JIR33" s="38"/>
      <c r="JIS33" s="38"/>
      <c r="JIT33" s="38"/>
      <c r="JIU33" s="38"/>
      <c r="JIV33" s="38"/>
      <c r="JIW33" s="38"/>
      <c r="JIX33" s="38"/>
      <c r="JIY33" s="38"/>
      <c r="JIZ33" s="38"/>
      <c r="JJA33" s="38"/>
      <c r="JJB33" s="38"/>
      <c r="JJC33" s="38"/>
      <c r="JJD33" s="38"/>
      <c r="JJE33" s="38"/>
      <c r="JJF33" s="38"/>
      <c r="JJG33" s="38"/>
      <c r="JJH33" s="38"/>
      <c r="JJI33" s="38"/>
      <c r="JJJ33" s="38"/>
      <c r="JJK33" s="38"/>
      <c r="JJL33" s="38"/>
      <c r="JJM33" s="38"/>
      <c r="JJN33" s="38"/>
      <c r="JJO33" s="38"/>
      <c r="JJP33" s="38"/>
      <c r="JJQ33" s="38"/>
      <c r="JJR33" s="38"/>
      <c r="JJS33" s="38"/>
      <c r="JJT33" s="38"/>
      <c r="JJU33" s="38"/>
      <c r="JJV33" s="38"/>
      <c r="JJW33" s="38"/>
      <c r="JJX33" s="38"/>
      <c r="JJY33" s="38"/>
      <c r="JJZ33" s="38"/>
      <c r="JKA33" s="38"/>
      <c r="JKB33" s="38"/>
      <c r="JKC33" s="38"/>
      <c r="JKD33" s="38"/>
      <c r="JKE33" s="38"/>
      <c r="JKF33" s="38"/>
      <c r="JKG33" s="38"/>
      <c r="JKH33" s="38"/>
      <c r="JKI33" s="38"/>
      <c r="JKJ33" s="38"/>
      <c r="JKK33" s="38"/>
      <c r="JKL33" s="38"/>
      <c r="JKM33" s="38"/>
      <c r="JKN33" s="38"/>
      <c r="JKO33" s="38"/>
      <c r="JKP33" s="38"/>
      <c r="JKQ33" s="38"/>
      <c r="JKR33" s="38"/>
      <c r="JKS33" s="38"/>
      <c r="JKT33" s="38"/>
      <c r="JKU33" s="38"/>
      <c r="JKV33" s="38"/>
      <c r="JKW33" s="38"/>
      <c r="JKX33" s="38"/>
      <c r="JKY33" s="38"/>
      <c r="JKZ33" s="38"/>
      <c r="JLA33" s="38"/>
      <c r="JLB33" s="38"/>
      <c r="JLC33" s="38"/>
      <c r="JLD33" s="38"/>
      <c r="JLE33" s="38"/>
      <c r="JLF33" s="38"/>
      <c r="JLG33" s="38"/>
      <c r="JLH33" s="38"/>
      <c r="JLI33" s="38"/>
      <c r="JLJ33" s="38"/>
      <c r="JLK33" s="38"/>
      <c r="JLL33" s="38"/>
      <c r="JLM33" s="38"/>
      <c r="JLN33" s="38"/>
      <c r="JLO33" s="38"/>
      <c r="JLP33" s="38"/>
      <c r="JLQ33" s="38"/>
      <c r="JLR33" s="38"/>
      <c r="JLS33" s="38"/>
      <c r="JLT33" s="38"/>
      <c r="JLU33" s="38"/>
      <c r="JLV33" s="38"/>
      <c r="JLW33" s="38"/>
      <c r="JLX33" s="38"/>
      <c r="JLY33" s="38"/>
      <c r="JLZ33" s="38"/>
      <c r="JMA33" s="38"/>
      <c r="JMB33" s="38"/>
      <c r="JMC33" s="38"/>
      <c r="JMD33" s="38"/>
      <c r="JME33" s="38"/>
      <c r="JMF33" s="38"/>
      <c r="JMG33" s="38"/>
      <c r="JMH33" s="38"/>
      <c r="JMI33" s="38"/>
      <c r="JMJ33" s="38"/>
      <c r="JMK33" s="38"/>
      <c r="JML33" s="38"/>
      <c r="JMM33" s="38"/>
      <c r="JMN33" s="38"/>
      <c r="JMO33" s="38"/>
      <c r="JMP33" s="38"/>
      <c r="JMQ33" s="38"/>
      <c r="JMR33" s="38"/>
      <c r="JMS33" s="38"/>
      <c r="JMT33" s="38"/>
      <c r="JMU33" s="38"/>
      <c r="JMV33" s="38"/>
      <c r="JMW33" s="38"/>
      <c r="JMX33" s="38"/>
      <c r="JMY33" s="38"/>
      <c r="JMZ33" s="38"/>
      <c r="JNA33" s="38"/>
      <c r="JNB33" s="38"/>
      <c r="JNC33" s="38"/>
      <c r="JND33" s="38"/>
      <c r="JNE33" s="38"/>
      <c r="JNF33" s="38"/>
      <c r="JNG33" s="38"/>
      <c r="JNH33" s="38"/>
      <c r="JNI33" s="38"/>
      <c r="JNJ33" s="38"/>
      <c r="JNK33" s="38"/>
      <c r="JNL33" s="38"/>
      <c r="JNM33" s="38"/>
      <c r="JNN33" s="38"/>
      <c r="JNO33" s="38"/>
      <c r="JNP33" s="38"/>
      <c r="JNQ33" s="38"/>
      <c r="JNR33" s="38"/>
      <c r="JNS33" s="38"/>
      <c r="JNT33" s="38"/>
      <c r="JNU33" s="38"/>
      <c r="JNV33" s="38"/>
      <c r="JNW33" s="38"/>
      <c r="JNX33" s="38"/>
      <c r="JNY33" s="38"/>
      <c r="JNZ33" s="38"/>
      <c r="JOA33" s="38"/>
      <c r="JOB33" s="38"/>
      <c r="JOC33" s="38"/>
      <c r="JOD33" s="38"/>
      <c r="JOE33" s="38"/>
      <c r="JOF33" s="38"/>
      <c r="JOG33" s="38"/>
      <c r="JOH33" s="38"/>
      <c r="JOI33" s="38"/>
      <c r="JOJ33" s="38"/>
      <c r="JOK33" s="38"/>
      <c r="JOL33" s="38"/>
      <c r="JOM33" s="38"/>
      <c r="JON33" s="38"/>
      <c r="JOO33" s="38"/>
      <c r="JOP33" s="38"/>
      <c r="JOQ33" s="38"/>
      <c r="JOR33" s="38"/>
      <c r="JOS33" s="38"/>
      <c r="JOT33" s="38"/>
      <c r="JOU33" s="38"/>
      <c r="JOV33" s="38"/>
      <c r="JOW33" s="38"/>
      <c r="JOX33" s="38"/>
      <c r="JOY33" s="38"/>
      <c r="JOZ33" s="38"/>
      <c r="JPA33" s="38"/>
      <c r="JPB33" s="38"/>
      <c r="JPC33" s="38"/>
      <c r="JPD33" s="38"/>
      <c r="JPE33" s="38"/>
      <c r="JPF33" s="38"/>
      <c r="JPG33" s="38"/>
      <c r="JPH33" s="38"/>
      <c r="JPI33" s="38"/>
      <c r="JPJ33" s="38"/>
      <c r="JPK33" s="38"/>
      <c r="JPL33" s="38"/>
      <c r="JPM33" s="38"/>
      <c r="JPN33" s="38"/>
      <c r="JPO33" s="38"/>
      <c r="JPP33" s="38"/>
      <c r="JPQ33" s="38"/>
      <c r="JPR33" s="38"/>
      <c r="JPS33" s="38"/>
      <c r="JPT33" s="38"/>
      <c r="JPU33" s="38"/>
      <c r="JPV33" s="38"/>
      <c r="JPW33" s="38"/>
      <c r="JPX33" s="38"/>
      <c r="JPY33" s="38"/>
      <c r="JPZ33" s="38"/>
      <c r="JQA33" s="38"/>
      <c r="JQB33" s="38"/>
      <c r="JQC33" s="38"/>
      <c r="JQD33" s="38"/>
      <c r="JQE33" s="38"/>
      <c r="JQF33" s="38"/>
      <c r="JQG33" s="38"/>
      <c r="JQH33" s="38"/>
      <c r="JQI33" s="38"/>
      <c r="JQJ33" s="38"/>
      <c r="JQK33" s="38"/>
      <c r="JQL33" s="38"/>
      <c r="JQM33" s="38"/>
      <c r="JQN33" s="38"/>
      <c r="JQO33" s="38"/>
      <c r="JQP33" s="38"/>
      <c r="JQQ33" s="38"/>
      <c r="JQR33" s="38"/>
      <c r="JQS33" s="38"/>
      <c r="JQT33" s="38"/>
      <c r="JQU33" s="38"/>
      <c r="JQV33" s="38"/>
      <c r="JQW33" s="38"/>
      <c r="JQX33" s="38"/>
      <c r="JQY33" s="38"/>
      <c r="JQZ33" s="38"/>
      <c r="JRA33" s="38"/>
      <c r="JRB33" s="38"/>
      <c r="JRC33" s="38"/>
      <c r="JRD33" s="38"/>
      <c r="JRE33" s="38"/>
      <c r="JRF33" s="38"/>
      <c r="JRG33" s="38"/>
      <c r="JRH33" s="38"/>
      <c r="JRI33" s="38"/>
      <c r="JRJ33" s="38"/>
      <c r="JRK33" s="38"/>
      <c r="JRL33" s="38"/>
      <c r="JRM33" s="38"/>
      <c r="JRN33" s="38"/>
      <c r="JRO33" s="38"/>
      <c r="JRP33" s="38"/>
      <c r="JRQ33" s="38"/>
      <c r="JRR33" s="38"/>
      <c r="JRS33" s="38"/>
      <c r="JRT33" s="38"/>
      <c r="JRU33" s="38"/>
      <c r="JRV33" s="38"/>
      <c r="JRW33" s="38"/>
      <c r="JRX33" s="38"/>
      <c r="JRY33" s="38"/>
      <c r="JRZ33" s="38"/>
      <c r="JSA33" s="38"/>
      <c r="JSB33" s="38"/>
      <c r="JSC33" s="38"/>
      <c r="JSD33" s="38"/>
      <c r="JSE33" s="38"/>
      <c r="JSF33" s="38"/>
      <c r="JSG33" s="38"/>
      <c r="JSH33" s="38"/>
      <c r="JSI33" s="38"/>
      <c r="JSJ33" s="38"/>
      <c r="JSK33" s="38"/>
      <c r="JSL33" s="38"/>
      <c r="JSM33" s="38"/>
      <c r="JSN33" s="38"/>
      <c r="JSO33" s="38"/>
      <c r="JSP33" s="38"/>
      <c r="JSQ33" s="38"/>
      <c r="JSR33" s="38"/>
      <c r="JSS33" s="38"/>
      <c r="JST33" s="38"/>
      <c r="JSU33" s="38"/>
      <c r="JSV33" s="38"/>
      <c r="JSW33" s="38"/>
      <c r="JSX33" s="38"/>
      <c r="JSY33" s="38"/>
      <c r="JSZ33" s="38"/>
      <c r="JTA33" s="38"/>
      <c r="JTB33" s="38"/>
      <c r="JTC33" s="38"/>
      <c r="JTD33" s="38"/>
      <c r="JTE33" s="38"/>
      <c r="JTF33" s="38"/>
      <c r="JTG33" s="38"/>
      <c r="JTH33" s="38"/>
      <c r="JTI33" s="38"/>
      <c r="JTJ33" s="38"/>
      <c r="JTK33" s="38"/>
      <c r="JTL33" s="38"/>
      <c r="JTM33" s="38"/>
      <c r="JTN33" s="38"/>
      <c r="JTO33" s="38"/>
      <c r="JTP33" s="38"/>
      <c r="JTQ33" s="38"/>
      <c r="JTR33" s="38"/>
      <c r="JTS33" s="38"/>
      <c r="JTT33" s="38"/>
      <c r="JTU33" s="38"/>
      <c r="JTV33" s="38"/>
      <c r="JTW33" s="38"/>
      <c r="JTX33" s="38"/>
      <c r="JTY33" s="38"/>
      <c r="JTZ33" s="38"/>
      <c r="JUA33" s="38"/>
      <c r="JUB33" s="38"/>
      <c r="JUC33" s="38"/>
      <c r="JUD33" s="38"/>
      <c r="JUE33" s="38"/>
      <c r="JUF33" s="38"/>
      <c r="JUG33" s="38"/>
      <c r="JUH33" s="38"/>
      <c r="JUI33" s="38"/>
      <c r="JUJ33" s="38"/>
      <c r="JUK33" s="38"/>
      <c r="JUL33" s="38"/>
      <c r="JUM33" s="38"/>
      <c r="JUN33" s="38"/>
      <c r="JUO33" s="38"/>
      <c r="JUP33" s="38"/>
      <c r="JUQ33" s="38"/>
      <c r="JUR33" s="38"/>
      <c r="JUS33" s="38"/>
      <c r="JUT33" s="38"/>
      <c r="JUU33" s="38"/>
      <c r="JUV33" s="38"/>
      <c r="JUW33" s="38"/>
      <c r="JUX33" s="38"/>
      <c r="JUY33" s="38"/>
      <c r="JUZ33" s="38"/>
      <c r="JVA33" s="38"/>
      <c r="JVB33" s="38"/>
      <c r="JVC33" s="38"/>
      <c r="JVD33" s="38"/>
      <c r="JVE33" s="38"/>
      <c r="JVF33" s="38"/>
      <c r="JVG33" s="38"/>
      <c r="JVH33" s="38"/>
      <c r="JVI33" s="38"/>
      <c r="JVJ33" s="38"/>
      <c r="JVK33" s="38"/>
      <c r="JVL33" s="38"/>
      <c r="JVM33" s="38"/>
      <c r="JVN33" s="38"/>
      <c r="JVO33" s="38"/>
      <c r="JVP33" s="38"/>
      <c r="JVQ33" s="38"/>
      <c r="JVR33" s="38"/>
      <c r="JVS33" s="38"/>
      <c r="JVT33" s="38"/>
      <c r="JVU33" s="38"/>
      <c r="JVV33" s="38"/>
      <c r="JVW33" s="38"/>
      <c r="JVX33" s="38"/>
      <c r="JVY33" s="38"/>
      <c r="JVZ33" s="38"/>
      <c r="JWA33" s="38"/>
      <c r="JWB33" s="38"/>
      <c r="JWC33" s="38"/>
      <c r="JWD33" s="38"/>
      <c r="JWE33" s="38"/>
      <c r="JWF33" s="38"/>
      <c r="JWG33" s="38"/>
      <c r="JWH33" s="38"/>
      <c r="JWI33" s="38"/>
      <c r="JWJ33" s="38"/>
      <c r="JWK33" s="38"/>
      <c r="JWL33" s="38"/>
      <c r="JWM33" s="38"/>
      <c r="JWN33" s="38"/>
      <c r="JWO33" s="38"/>
      <c r="JWP33" s="38"/>
      <c r="JWQ33" s="38"/>
      <c r="JWR33" s="38"/>
      <c r="JWS33" s="38"/>
      <c r="JWT33" s="38"/>
      <c r="JWU33" s="38"/>
      <c r="JWV33" s="38"/>
      <c r="JWW33" s="38"/>
      <c r="JWX33" s="38"/>
      <c r="JWY33" s="38"/>
      <c r="JWZ33" s="38"/>
      <c r="JXA33" s="38"/>
      <c r="JXB33" s="38"/>
      <c r="JXC33" s="38"/>
      <c r="JXD33" s="38"/>
      <c r="JXE33" s="38"/>
      <c r="JXF33" s="38"/>
      <c r="JXG33" s="38"/>
      <c r="JXH33" s="38"/>
      <c r="JXI33" s="38"/>
      <c r="JXJ33" s="38"/>
      <c r="JXK33" s="38"/>
      <c r="JXL33" s="38"/>
      <c r="JXM33" s="38"/>
      <c r="JXN33" s="38"/>
      <c r="JXO33" s="38"/>
      <c r="JXP33" s="38"/>
      <c r="JXQ33" s="38"/>
      <c r="JXR33" s="38"/>
      <c r="JXS33" s="38"/>
      <c r="JXT33" s="38"/>
      <c r="JXU33" s="38"/>
      <c r="JXV33" s="38"/>
      <c r="JXW33" s="38"/>
      <c r="JXX33" s="38"/>
      <c r="JXY33" s="38"/>
      <c r="JXZ33" s="38"/>
      <c r="JYA33" s="38"/>
      <c r="JYB33" s="38"/>
      <c r="JYC33" s="38"/>
      <c r="JYD33" s="38"/>
      <c r="JYE33" s="38"/>
      <c r="JYF33" s="38"/>
      <c r="JYG33" s="38"/>
      <c r="JYH33" s="38"/>
      <c r="JYI33" s="38"/>
      <c r="JYJ33" s="38"/>
      <c r="JYK33" s="38"/>
      <c r="JYL33" s="38"/>
      <c r="JYM33" s="38"/>
      <c r="JYN33" s="38"/>
      <c r="JYO33" s="38"/>
      <c r="JYP33" s="38"/>
      <c r="JYQ33" s="38"/>
      <c r="JYR33" s="38"/>
      <c r="JYS33" s="38"/>
      <c r="JYT33" s="38"/>
      <c r="JYU33" s="38"/>
      <c r="JYV33" s="38"/>
      <c r="JYW33" s="38"/>
      <c r="JYX33" s="38"/>
      <c r="JYY33" s="38"/>
      <c r="JYZ33" s="38"/>
      <c r="JZA33" s="38"/>
      <c r="JZB33" s="38"/>
      <c r="JZC33" s="38"/>
      <c r="JZD33" s="38"/>
      <c r="JZE33" s="38"/>
      <c r="JZF33" s="38"/>
      <c r="JZG33" s="38"/>
      <c r="JZH33" s="38"/>
      <c r="JZI33" s="38"/>
      <c r="JZJ33" s="38"/>
      <c r="JZK33" s="38"/>
      <c r="JZL33" s="38"/>
      <c r="JZM33" s="38"/>
      <c r="JZN33" s="38"/>
      <c r="JZO33" s="38"/>
      <c r="JZP33" s="38"/>
      <c r="JZQ33" s="38"/>
      <c r="JZR33" s="38"/>
      <c r="JZS33" s="38"/>
      <c r="JZT33" s="38"/>
      <c r="JZU33" s="38"/>
      <c r="JZV33" s="38"/>
      <c r="JZW33" s="38"/>
      <c r="JZX33" s="38"/>
      <c r="JZY33" s="38"/>
      <c r="JZZ33" s="38"/>
      <c r="KAA33" s="38"/>
      <c r="KAB33" s="38"/>
      <c r="KAC33" s="38"/>
      <c r="KAD33" s="38"/>
      <c r="KAE33" s="38"/>
      <c r="KAF33" s="38"/>
      <c r="KAG33" s="38"/>
      <c r="KAH33" s="38"/>
      <c r="KAI33" s="38"/>
      <c r="KAJ33" s="38"/>
      <c r="KAK33" s="38"/>
      <c r="KAL33" s="38"/>
      <c r="KAM33" s="38"/>
      <c r="KAN33" s="38"/>
      <c r="KAO33" s="38"/>
      <c r="KAP33" s="38"/>
      <c r="KAQ33" s="38"/>
      <c r="KAR33" s="38"/>
      <c r="KAS33" s="38"/>
      <c r="KAT33" s="38"/>
      <c r="KAU33" s="38"/>
      <c r="KAV33" s="38"/>
      <c r="KAW33" s="38"/>
      <c r="KAX33" s="38"/>
      <c r="KAY33" s="38"/>
      <c r="KAZ33" s="38"/>
      <c r="KBA33" s="38"/>
      <c r="KBB33" s="38"/>
      <c r="KBC33" s="38"/>
      <c r="KBD33" s="38"/>
      <c r="KBE33" s="38"/>
      <c r="KBF33" s="38"/>
      <c r="KBG33" s="38"/>
      <c r="KBH33" s="38"/>
      <c r="KBI33" s="38"/>
      <c r="KBJ33" s="38"/>
      <c r="KBK33" s="38"/>
      <c r="KBL33" s="38"/>
      <c r="KBM33" s="38"/>
      <c r="KBN33" s="38"/>
      <c r="KBO33" s="38"/>
      <c r="KBP33" s="38"/>
      <c r="KBQ33" s="38"/>
      <c r="KBR33" s="38"/>
      <c r="KBS33" s="38"/>
      <c r="KBT33" s="38"/>
      <c r="KBU33" s="38"/>
      <c r="KBV33" s="38"/>
      <c r="KBW33" s="38"/>
      <c r="KBX33" s="38"/>
      <c r="KBY33" s="38"/>
      <c r="KBZ33" s="38"/>
      <c r="KCA33" s="38"/>
      <c r="KCB33" s="38"/>
      <c r="KCC33" s="38"/>
      <c r="KCD33" s="38"/>
      <c r="KCE33" s="38"/>
      <c r="KCF33" s="38"/>
      <c r="KCG33" s="38"/>
      <c r="KCH33" s="38"/>
      <c r="KCI33" s="38"/>
      <c r="KCJ33" s="38"/>
      <c r="KCK33" s="38"/>
      <c r="KCL33" s="38"/>
      <c r="KCM33" s="38"/>
      <c r="KCN33" s="38"/>
      <c r="KCO33" s="38"/>
      <c r="KCP33" s="38"/>
      <c r="KCQ33" s="38"/>
      <c r="KCR33" s="38"/>
      <c r="KCS33" s="38"/>
      <c r="KCT33" s="38"/>
      <c r="KCU33" s="38"/>
      <c r="KCV33" s="38"/>
      <c r="KCW33" s="38"/>
      <c r="KCX33" s="38"/>
      <c r="KCY33" s="38"/>
      <c r="KCZ33" s="38"/>
      <c r="KDA33" s="38"/>
      <c r="KDB33" s="38"/>
      <c r="KDC33" s="38"/>
      <c r="KDD33" s="38"/>
      <c r="KDE33" s="38"/>
      <c r="KDF33" s="38"/>
      <c r="KDG33" s="38"/>
      <c r="KDH33" s="38"/>
      <c r="KDI33" s="38"/>
      <c r="KDJ33" s="38"/>
      <c r="KDK33" s="38"/>
      <c r="KDL33" s="38"/>
      <c r="KDM33" s="38"/>
      <c r="KDN33" s="38"/>
      <c r="KDO33" s="38"/>
      <c r="KDP33" s="38"/>
      <c r="KDQ33" s="38"/>
      <c r="KDR33" s="38"/>
      <c r="KDS33" s="38"/>
      <c r="KDT33" s="38"/>
      <c r="KDU33" s="38"/>
      <c r="KDV33" s="38"/>
      <c r="KDW33" s="38"/>
      <c r="KDX33" s="38"/>
      <c r="KDY33" s="38"/>
      <c r="KDZ33" s="38"/>
      <c r="KEA33" s="38"/>
      <c r="KEB33" s="38"/>
      <c r="KEC33" s="38"/>
      <c r="KED33" s="38"/>
      <c r="KEE33" s="38"/>
      <c r="KEF33" s="38"/>
      <c r="KEG33" s="38"/>
      <c r="KEH33" s="38"/>
      <c r="KEI33" s="38"/>
      <c r="KEJ33" s="38"/>
      <c r="KEK33" s="38"/>
      <c r="KEL33" s="38"/>
      <c r="KEM33" s="38"/>
      <c r="KEN33" s="38"/>
      <c r="KEO33" s="38"/>
      <c r="KEP33" s="38"/>
      <c r="KEQ33" s="38"/>
      <c r="KER33" s="38"/>
      <c r="KES33" s="38"/>
      <c r="KET33" s="38"/>
      <c r="KEU33" s="38"/>
      <c r="KEV33" s="38"/>
      <c r="KEW33" s="38"/>
      <c r="KEX33" s="38"/>
      <c r="KEY33" s="38"/>
      <c r="KEZ33" s="38"/>
      <c r="KFA33" s="38"/>
      <c r="KFB33" s="38"/>
      <c r="KFC33" s="38"/>
      <c r="KFD33" s="38"/>
      <c r="KFE33" s="38"/>
      <c r="KFF33" s="38"/>
      <c r="KFG33" s="38"/>
      <c r="KFH33" s="38"/>
      <c r="KFI33" s="38"/>
      <c r="KFJ33" s="38"/>
      <c r="KFK33" s="38"/>
      <c r="KFL33" s="38"/>
      <c r="KFM33" s="38"/>
      <c r="KFN33" s="38"/>
      <c r="KFO33" s="38"/>
      <c r="KFP33" s="38"/>
      <c r="KFQ33" s="38"/>
      <c r="KFR33" s="38"/>
      <c r="KFS33" s="38"/>
      <c r="KFT33" s="38"/>
      <c r="KFU33" s="38"/>
      <c r="KFV33" s="38"/>
      <c r="KFW33" s="38"/>
      <c r="KFX33" s="38"/>
      <c r="KFY33" s="38"/>
      <c r="KFZ33" s="38"/>
      <c r="KGA33" s="38"/>
      <c r="KGB33" s="38"/>
      <c r="KGC33" s="38"/>
      <c r="KGD33" s="38"/>
      <c r="KGE33" s="38"/>
      <c r="KGF33" s="38"/>
      <c r="KGG33" s="38"/>
      <c r="KGH33" s="38"/>
      <c r="KGI33" s="38"/>
      <c r="KGJ33" s="38"/>
      <c r="KGK33" s="38"/>
      <c r="KGL33" s="38"/>
      <c r="KGM33" s="38"/>
      <c r="KGN33" s="38"/>
      <c r="KGO33" s="38"/>
      <c r="KGP33" s="38"/>
      <c r="KGQ33" s="38"/>
      <c r="KGR33" s="38"/>
      <c r="KGS33" s="38"/>
      <c r="KGT33" s="38"/>
      <c r="KGU33" s="38"/>
      <c r="KGV33" s="38"/>
      <c r="KGW33" s="38"/>
      <c r="KGX33" s="38"/>
      <c r="KGY33" s="38"/>
      <c r="KGZ33" s="38"/>
      <c r="KHA33" s="38"/>
      <c r="KHB33" s="38"/>
      <c r="KHC33" s="38"/>
      <c r="KHD33" s="38"/>
      <c r="KHE33" s="38"/>
      <c r="KHF33" s="38"/>
      <c r="KHG33" s="38"/>
      <c r="KHH33" s="38"/>
      <c r="KHI33" s="38"/>
      <c r="KHJ33" s="38"/>
      <c r="KHK33" s="38"/>
      <c r="KHL33" s="38"/>
      <c r="KHM33" s="38"/>
      <c r="KHN33" s="38"/>
      <c r="KHO33" s="38"/>
      <c r="KHP33" s="38"/>
      <c r="KHQ33" s="38"/>
      <c r="KHR33" s="38"/>
      <c r="KHS33" s="38"/>
      <c r="KHT33" s="38"/>
      <c r="KHU33" s="38"/>
      <c r="KHV33" s="38"/>
      <c r="KHW33" s="38"/>
      <c r="KHX33" s="38"/>
      <c r="KHY33" s="38"/>
      <c r="KHZ33" s="38"/>
      <c r="KIA33" s="38"/>
      <c r="KIB33" s="38"/>
      <c r="KIC33" s="38"/>
      <c r="KID33" s="38"/>
      <c r="KIE33" s="38"/>
      <c r="KIF33" s="38"/>
      <c r="KIG33" s="38"/>
      <c r="KIH33" s="38"/>
      <c r="KII33" s="38"/>
      <c r="KIJ33" s="38"/>
      <c r="KIK33" s="38"/>
      <c r="KIL33" s="38"/>
      <c r="KIM33" s="38"/>
      <c r="KIN33" s="38"/>
      <c r="KIO33" s="38"/>
      <c r="KIP33" s="38"/>
      <c r="KIQ33" s="38"/>
      <c r="KIR33" s="38"/>
      <c r="KIS33" s="38"/>
      <c r="KIT33" s="38"/>
      <c r="KIU33" s="38"/>
      <c r="KIV33" s="38"/>
      <c r="KIW33" s="38"/>
      <c r="KIX33" s="38"/>
      <c r="KIY33" s="38"/>
      <c r="KIZ33" s="38"/>
      <c r="KJA33" s="38"/>
      <c r="KJB33" s="38"/>
      <c r="KJC33" s="38"/>
      <c r="KJD33" s="38"/>
      <c r="KJE33" s="38"/>
      <c r="KJF33" s="38"/>
      <c r="KJG33" s="38"/>
      <c r="KJH33" s="38"/>
      <c r="KJI33" s="38"/>
      <c r="KJJ33" s="38"/>
      <c r="KJK33" s="38"/>
      <c r="KJL33" s="38"/>
      <c r="KJM33" s="38"/>
      <c r="KJN33" s="38"/>
      <c r="KJO33" s="38"/>
      <c r="KJP33" s="38"/>
      <c r="KJQ33" s="38"/>
      <c r="KJR33" s="38"/>
      <c r="KJS33" s="38"/>
      <c r="KJT33" s="38"/>
      <c r="KJU33" s="38"/>
      <c r="KJV33" s="38"/>
      <c r="KJW33" s="38"/>
      <c r="KJX33" s="38"/>
      <c r="KJY33" s="38"/>
      <c r="KJZ33" s="38"/>
      <c r="KKA33" s="38"/>
      <c r="KKB33" s="38"/>
      <c r="KKC33" s="38"/>
      <c r="KKD33" s="38"/>
      <c r="KKE33" s="38"/>
      <c r="KKF33" s="38"/>
      <c r="KKG33" s="38"/>
      <c r="KKH33" s="38"/>
      <c r="KKI33" s="38"/>
      <c r="KKJ33" s="38"/>
      <c r="KKK33" s="38"/>
      <c r="KKL33" s="38"/>
      <c r="KKM33" s="38"/>
      <c r="KKN33" s="38"/>
      <c r="KKO33" s="38"/>
      <c r="KKP33" s="38"/>
      <c r="KKQ33" s="38"/>
      <c r="KKR33" s="38"/>
      <c r="KKS33" s="38"/>
      <c r="KKT33" s="38"/>
      <c r="KKU33" s="38"/>
      <c r="KKV33" s="38"/>
      <c r="KKW33" s="38"/>
      <c r="KKX33" s="38"/>
      <c r="KKY33" s="38"/>
      <c r="KKZ33" s="38"/>
      <c r="KLA33" s="38"/>
      <c r="KLB33" s="38"/>
      <c r="KLC33" s="38"/>
      <c r="KLD33" s="38"/>
      <c r="KLE33" s="38"/>
      <c r="KLF33" s="38"/>
      <c r="KLG33" s="38"/>
      <c r="KLH33" s="38"/>
      <c r="KLI33" s="38"/>
      <c r="KLJ33" s="38"/>
      <c r="KLK33" s="38"/>
      <c r="KLL33" s="38"/>
      <c r="KLM33" s="38"/>
      <c r="KLN33" s="38"/>
      <c r="KLO33" s="38"/>
      <c r="KLP33" s="38"/>
      <c r="KLQ33" s="38"/>
      <c r="KLR33" s="38"/>
      <c r="KLS33" s="38"/>
      <c r="KLT33" s="38"/>
      <c r="KLU33" s="38"/>
      <c r="KLV33" s="38"/>
      <c r="KLW33" s="38"/>
      <c r="KLX33" s="38"/>
      <c r="KLY33" s="38"/>
      <c r="KLZ33" s="38"/>
      <c r="KMA33" s="38"/>
      <c r="KMB33" s="38"/>
      <c r="KMC33" s="38"/>
      <c r="KMD33" s="38"/>
      <c r="KME33" s="38"/>
      <c r="KMF33" s="38"/>
      <c r="KMG33" s="38"/>
      <c r="KMH33" s="38"/>
      <c r="KMI33" s="38"/>
      <c r="KMJ33" s="38"/>
      <c r="KMK33" s="38"/>
      <c r="KML33" s="38"/>
      <c r="KMM33" s="38"/>
      <c r="KMN33" s="38"/>
      <c r="KMO33" s="38"/>
      <c r="KMP33" s="38"/>
      <c r="KMQ33" s="38"/>
      <c r="KMR33" s="38"/>
      <c r="KMS33" s="38"/>
      <c r="KMT33" s="38"/>
      <c r="KMU33" s="38"/>
      <c r="KMV33" s="38"/>
      <c r="KMW33" s="38"/>
      <c r="KMX33" s="38"/>
      <c r="KMY33" s="38"/>
      <c r="KMZ33" s="38"/>
      <c r="KNA33" s="38"/>
      <c r="KNB33" s="38"/>
      <c r="KNC33" s="38"/>
      <c r="KND33" s="38"/>
      <c r="KNE33" s="38"/>
      <c r="KNF33" s="38"/>
      <c r="KNG33" s="38"/>
      <c r="KNH33" s="38"/>
      <c r="KNI33" s="38"/>
      <c r="KNJ33" s="38"/>
      <c r="KNK33" s="38"/>
      <c r="KNL33" s="38"/>
      <c r="KNM33" s="38"/>
      <c r="KNN33" s="38"/>
      <c r="KNO33" s="38"/>
      <c r="KNP33" s="38"/>
      <c r="KNQ33" s="38"/>
      <c r="KNR33" s="38"/>
      <c r="KNS33" s="38"/>
      <c r="KNT33" s="38"/>
      <c r="KNU33" s="38"/>
      <c r="KNV33" s="38"/>
      <c r="KNW33" s="38"/>
      <c r="KNX33" s="38"/>
      <c r="KNY33" s="38"/>
      <c r="KNZ33" s="38"/>
      <c r="KOA33" s="38"/>
      <c r="KOB33" s="38"/>
      <c r="KOC33" s="38"/>
      <c r="KOD33" s="38"/>
      <c r="KOE33" s="38"/>
      <c r="KOF33" s="38"/>
      <c r="KOG33" s="38"/>
      <c r="KOH33" s="38"/>
      <c r="KOI33" s="38"/>
      <c r="KOJ33" s="38"/>
      <c r="KOK33" s="38"/>
      <c r="KOL33" s="38"/>
      <c r="KOM33" s="38"/>
      <c r="KON33" s="38"/>
      <c r="KOO33" s="38"/>
      <c r="KOP33" s="38"/>
      <c r="KOQ33" s="38"/>
      <c r="KOR33" s="38"/>
      <c r="KOS33" s="38"/>
      <c r="KOT33" s="38"/>
      <c r="KOU33" s="38"/>
      <c r="KOV33" s="38"/>
      <c r="KOW33" s="38"/>
      <c r="KOX33" s="38"/>
      <c r="KOY33" s="38"/>
      <c r="KOZ33" s="38"/>
      <c r="KPA33" s="38"/>
      <c r="KPB33" s="38"/>
      <c r="KPC33" s="38"/>
      <c r="KPD33" s="38"/>
      <c r="KPE33" s="38"/>
      <c r="KPF33" s="38"/>
      <c r="KPG33" s="38"/>
      <c r="KPH33" s="38"/>
      <c r="KPI33" s="38"/>
      <c r="KPJ33" s="38"/>
      <c r="KPK33" s="38"/>
      <c r="KPL33" s="38"/>
      <c r="KPM33" s="38"/>
      <c r="KPN33" s="38"/>
      <c r="KPO33" s="38"/>
      <c r="KPP33" s="38"/>
      <c r="KPQ33" s="38"/>
      <c r="KPR33" s="38"/>
      <c r="KPS33" s="38"/>
      <c r="KPT33" s="38"/>
      <c r="KPU33" s="38"/>
      <c r="KPV33" s="38"/>
      <c r="KPW33" s="38"/>
      <c r="KPX33" s="38"/>
      <c r="KPY33" s="38"/>
      <c r="KPZ33" s="38"/>
      <c r="KQA33" s="38"/>
      <c r="KQB33" s="38"/>
      <c r="KQC33" s="38"/>
      <c r="KQD33" s="38"/>
      <c r="KQE33" s="38"/>
      <c r="KQF33" s="38"/>
      <c r="KQG33" s="38"/>
      <c r="KQH33" s="38"/>
      <c r="KQI33" s="38"/>
      <c r="KQJ33" s="38"/>
      <c r="KQK33" s="38"/>
      <c r="KQL33" s="38"/>
      <c r="KQM33" s="38"/>
      <c r="KQN33" s="38"/>
      <c r="KQO33" s="38"/>
      <c r="KQP33" s="38"/>
      <c r="KQQ33" s="38"/>
      <c r="KQR33" s="38"/>
      <c r="KQS33" s="38"/>
      <c r="KQT33" s="38"/>
      <c r="KQU33" s="38"/>
      <c r="KQV33" s="38"/>
      <c r="KQW33" s="38"/>
      <c r="KQX33" s="38"/>
      <c r="KQY33" s="38"/>
      <c r="KQZ33" s="38"/>
      <c r="KRA33" s="38"/>
      <c r="KRB33" s="38"/>
      <c r="KRC33" s="38"/>
      <c r="KRD33" s="38"/>
      <c r="KRE33" s="38"/>
      <c r="KRF33" s="38"/>
      <c r="KRG33" s="38"/>
      <c r="KRH33" s="38"/>
      <c r="KRI33" s="38"/>
      <c r="KRJ33" s="38"/>
      <c r="KRK33" s="38"/>
      <c r="KRL33" s="38"/>
      <c r="KRM33" s="38"/>
      <c r="KRN33" s="38"/>
      <c r="KRO33" s="38"/>
      <c r="KRP33" s="38"/>
      <c r="KRQ33" s="38"/>
      <c r="KRR33" s="38"/>
      <c r="KRS33" s="38"/>
      <c r="KRT33" s="38"/>
      <c r="KRU33" s="38"/>
      <c r="KRV33" s="38"/>
      <c r="KRW33" s="38"/>
      <c r="KRX33" s="38"/>
      <c r="KRY33" s="38"/>
      <c r="KRZ33" s="38"/>
      <c r="KSA33" s="38"/>
      <c r="KSB33" s="38"/>
      <c r="KSC33" s="38"/>
      <c r="KSD33" s="38"/>
      <c r="KSE33" s="38"/>
      <c r="KSF33" s="38"/>
      <c r="KSG33" s="38"/>
      <c r="KSH33" s="38"/>
      <c r="KSI33" s="38"/>
      <c r="KSJ33" s="38"/>
      <c r="KSK33" s="38"/>
      <c r="KSL33" s="38"/>
      <c r="KSM33" s="38"/>
      <c r="KSN33" s="38"/>
      <c r="KSO33" s="38"/>
      <c r="KSP33" s="38"/>
      <c r="KSQ33" s="38"/>
      <c r="KSR33" s="38"/>
      <c r="KSS33" s="38"/>
      <c r="KST33" s="38"/>
      <c r="KSU33" s="38"/>
      <c r="KSV33" s="38"/>
      <c r="KSW33" s="38"/>
      <c r="KSX33" s="38"/>
      <c r="KSY33" s="38"/>
      <c r="KSZ33" s="38"/>
      <c r="KTA33" s="38"/>
      <c r="KTB33" s="38"/>
      <c r="KTC33" s="38"/>
      <c r="KTD33" s="38"/>
      <c r="KTE33" s="38"/>
      <c r="KTF33" s="38"/>
      <c r="KTG33" s="38"/>
      <c r="KTH33" s="38"/>
      <c r="KTI33" s="38"/>
      <c r="KTJ33" s="38"/>
      <c r="KTK33" s="38"/>
      <c r="KTL33" s="38"/>
      <c r="KTM33" s="38"/>
      <c r="KTN33" s="38"/>
      <c r="KTO33" s="38"/>
      <c r="KTP33" s="38"/>
      <c r="KTQ33" s="38"/>
      <c r="KTR33" s="38"/>
      <c r="KTS33" s="38"/>
      <c r="KTT33" s="38"/>
      <c r="KTU33" s="38"/>
      <c r="KTV33" s="38"/>
      <c r="KTW33" s="38"/>
      <c r="KTX33" s="38"/>
      <c r="KTY33" s="38"/>
      <c r="KTZ33" s="38"/>
      <c r="KUA33" s="38"/>
      <c r="KUB33" s="38"/>
      <c r="KUC33" s="38"/>
      <c r="KUD33" s="38"/>
      <c r="KUE33" s="38"/>
      <c r="KUF33" s="38"/>
      <c r="KUG33" s="38"/>
      <c r="KUH33" s="38"/>
      <c r="KUI33" s="38"/>
      <c r="KUJ33" s="38"/>
      <c r="KUK33" s="38"/>
      <c r="KUL33" s="38"/>
      <c r="KUM33" s="38"/>
      <c r="KUN33" s="38"/>
      <c r="KUO33" s="38"/>
      <c r="KUP33" s="38"/>
      <c r="KUQ33" s="38"/>
      <c r="KUR33" s="38"/>
      <c r="KUS33" s="38"/>
      <c r="KUT33" s="38"/>
      <c r="KUU33" s="38"/>
      <c r="KUV33" s="38"/>
      <c r="KUW33" s="38"/>
      <c r="KUX33" s="38"/>
      <c r="KUY33" s="38"/>
      <c r="KUZ33" s="38"/>
      <c r="KVA33" s="38"/>
      <c r="KVB33" s="38"/>
      <c r="KVC33" s="38"/>
      <c r="KVD33" s="38"/>
      <c r="KVE33" s="38"/>
      <c r="KVF33" s="38"/>
      <c r="KVG33" s="38"/>
      <c r="KVH33" s="38"/>
      <c r="KVI33" s="38"/>
      <c r="KVJ33" s="38"/>
      <c r="KVK33" s="38"/>
      <c r="KVL33" s="38"/>
      <c r="KVM33" s="38"/>
      <c r="KVN33" s="38"/>
      <c r="KVO33" s="38"/>
      <c r="KVP33" s="38"/>
      <c r="KVQ33" s="38"/>
      <c r="KVR33" s="38"/>
      <c r="KVS33" s="38"/>
      <c r="KVT33" s="38"/>
      <c r="KVU33" s="38"/>
      <c r="KVV33" s="38"/>
      <c r="KVW33" s="38"/>
      <c r="KVX33" s="38"/>
      <c r="KVY33" s="38"/>
      <c r="KVZ33" s="38"/>
      <c r="KWA33" s="38"/>
      <c r="KWB33" s="38"/>
      <c r="KWC33" s="38"/>
      <c r="KWD33" s="38"/>
      <c r="KWE33" s="38"/>
      <c r="KWF33" s="38"/>
      <c r="KWG33" s="38"/>
      <c r="KWH33" s="38"/>
      <c r="KWI33" s="38"/>
      <c r="KWJ33" s="38"/>
      <c r="KWK33" s="38"/>
      <c r="KWL33" s="38"/>
      <c r="KWM33" s="38"/>
      <c r="KWN33" s="38"/>
      <c r="KWO33" s="38"/>
      <c r="KWP33" s="38"/>
      <c r="KWQ33" s="38"/>
      <c r="KWR33" s="38"/>
      <c r="KWS33" s="38"/>
      <c r="KWT33" s="38"/>
      <c r="KWU33" s="38"/>
      <c r="KWV33" s="38"/>
      <c r="KWW33" s="38"/>
      <c r="KWX33" s="38"/>
      <c r="KWY33" s="38"/>
      <c r="KWZ33" s="38"/>
      <c r="KXA33" s="38"/>
      <c r="KXB33" s="38"/>
      <c r="KXC33" s="38"/>
      <c r="KXD33" s="38"/>
      <c r="KXE33" s="38"/>
      <c r="KXF33" s="38"/>
      <c r="KXG33" s="38"/>
      <c r="KXH33" s="38"/>
      <c r="KXI33" s="38"/>
      <c r="KXJ33" s="38"/>
      <c r="KXK33" s="38"/>
      <c r="KXL33" s="38"/>
      <c r="KXM33" s="38"/>
      <c r="KXN33" s="38"/>
      <c r="KXO33" s="38"/>
      <c r="KXP33" s="38"/>
      <c r="KXQ33" s="38"/>
      <c r="KXR33" s="38"/>
      <c r="KXS33" s="38"/>
      <c r="KXT33" s="38"/>
      <c r="KXU33" s="38"/>
      <c r="KXV33" s="38"/>
      <c r="KXW33" s="38"/>
      <c r="KXX33" s="38"/>
      <c r="KXY33" s="38"/>
      <c r="KXZ33" s="38"/>
      <c r="KYA33" s="38"/>
      <c r="KYB33" s="38"/>
      <c r="KYC33" s="38"/>
      <c r="KYD33" s="38"/>
      <c r="KYE33" s="38"/>
      <c r="KYF33" s="38"/>
      <c r="KYG33" s="38"/>
      <c r="KYH33" s="38"/>
      <c r="KYI33" s="38"/>
      <c r="KYJ33" s="38"/>
      <c r="KYK33" s="38"/>
      <c r="KYL33" s="38"/>
      <c r="KYM33" s="38"/>
      <c r="KYN33" s="38"/>
      <c r="KYO33" s="38"/>
      <c r="KYP33" s="38"/>
      <c r="KYQ33" s="38"/>
      <c r="KYR33" s="38"/>
      <c r="KYS33" s="38"/>
      <c r="KYT33" s="38"/>
      <c r="KYU33" s="38"/>
      <c r="KYV33" s="38"/>
      <c r="KYW33" s="38"/>
      <c r="KYX33" s="38"/>
      <c r="KYY33" s="38"/>
      <c r="KYZ33" s="38"/>
      <c r="KZA33" s="38"/>
      <c r="KZB33" s="38"/>
      <c r="KZC33" s="38"/>
      <c r="KZD33" s="38"/>
      <c r="KZE33" s="38"/>
      <c r="KZF33" s="38"/>
      <c r="KZG33" s="38"/>
      <c r="KZH33" s="38"/>
      <c r="KZI33" s="38"/>
      <c r="KZJ33" s="38"/>
      <c r="KZK33" s="38"/>
      <c r="KZL33" s="38"/>
      <c r="KZM33" s="38"/>
      <c r="KZN33" s="38"/>
      <c r="KZO33" s="38"/>
      <c r="KZP33" s="38"/>
      <c r="KZQ33" s="38"/>
      <c r="KZR33" s="38"/>
      <c r="KZS33" s="38"/>
      <c r="KZT33" s="38"/>
      <c r="KZU33" s="38"/>
      <c r="KZV33" s="38"/>
      <c r="KZW33" s="38"/>
      <c r="KZX33" s="38"/>
      <c r="KZY33" s="38"/>
      <c r="KZZ33" s="38"/>
      <c r="LAA33" s="38"/>
      <c r="LAB33" s="38"/>
      <c r="LAC33" s="38"/>
      <c r="LAD33" s="38"/>
      <c r="LAE33" s="38"/>
      <c r="LAF33" s="38"/>
      <c r="LAG33" s="38"/>
      <c r="LAH33" s="38"/>
      <c r="LAI33" s="38"/>
      <c r="LAJ33" s="38"/>
      <c r="LAK33" s="38"/>
      <c r="LAL33" s="38"/>
      <c r="LAM33" s="38"/>
      <c r="LAN33" s="38"/>
      <c r="LAO33" s="38"/>
      <c r="LAP33" s="38"/>
      <c r="LAQ33" s="38"/>
      <c r="LAR33" s="38"/>
      <c r="LAS33" s="38"/>
      <c r="LAT33" s="38"/>
      <c r="LAU33" s="38"/>
      <c r="LAV33" s="38"/>
      <c r="LAW33" s="38"/>
      <c r="LAX33" s="38"/>
      <c r="LAY33" s="38"/>
      <c r="LAZ33" s="38"/>
      <c r="LBA33" s="38"/>
      <c r="LBB33" s="38"/>
      <c r="LBC33" s="38"/>
      <c r="LBD33" s="38"/>
      <c r="LBE33" s="38"/>
      <c r="LBF33" s="38"/>
      <c r="LBG33" s="38"/>
      <c r="LBH33" s="38"/>
      <c r="LBI33" s="38"/>
      <c r="LBJ33" s="38"/>
      <c r="LBK33" s="38"/>
      <c r="LBL33" s="38"/>
      <c r="LBM33" s="38"/>
      <c r="LBN33" s="38"/>
      <c r="LBO33" s="38"/>
      <c r="LBP33" s="38"/>
      <c r="LBQ33" s="38"/>
      <c r="LBR33" s="38"/>
      <c r="LBS33" s="38"/>
      <c r="LBT33" s="38"/>
      <c r="LBU33" s="38"/>
      <c r="LBV33" s="38"/>
      <c r="LBW33" s="38"/>
      <c r="LBX33" s="38"/>
      <c r="LBY33" s="38"/>
      <c r="LBZ33" s="38"/>
      <c r="LCA33" s="38"/>
      <c r="LCB33" s="38"/>
      <c r="LCC33" s="38"/>
      <c r="LCD33" s="38"/>
      <c r="LCE33" s="38"/>
      <c r="LCF33" s="38"/>
      <c r="LCG33" s="38"/>
      <c r="LCH33" s="38"/>
      <c r="LCI33" s="38"/>
      <c r="LCJ33" s="38"/>
      <c r="LCK33" s="38"/>
      <c r="LCL33" s="38"/>
      <c r="LCM33" s="38"/>
      <c r="LCN33" s="38"/>
      <c r="LCO33" s="38"/>
      <c r="LCP33" s="38"/>
      <c r="LCQ33" s="38"/>
      <c r="LCR33" s="38"/>
      <c r="LCS33" s="38"/>
      <c r="LCT33" s="38"/>
      <c r="LCU33" s="38"/>
      <c r="LCV33" s="38"/>
      <c r="LCW33" s="38"/>
      <c r="LCX33" s="38"/>
      <c r="LCY33" s="38"/>
      <c r="LCZ33" s="38"/>
      <c r="LDA33" s="38"/>
      <c r="LDB33" s="38"/>
      <c r="LDC33" s="38"/>
      <c r="LDD33" s="38"/>
      <c r="LDE33" s="38"/>
      <c r="LDF33" s="38"/>
      <c r="LDG33" s="38"/>
      <c r="LDH33" s="38"/>
      <c r="LDI33" s="38"/>
      <c r="LDJ33" s="38"/>
      <c r="LDK33" s="38"/>
      <c r="LDL33" s="38"/>
      <c r="LDM33" s="38"/>
      <c r="LDN33" s="38"/>
      <c r="LDO33" s="38"/>
      <c r="LDP33" s="38"/>
      <c r="LDQ33" s="38"/>
      <c r="LDR33" s="38"/>
      <c r="LDS33" s="38"/>
      <c r="LDT33" s="38"/>
      <c r="LDU33" s="38"/>
      <c r="LDV33" s="38"/>
      <c r="LDW33" s="38"/>
      <c r="LDX33" s="38"/>
      <c r="LDY33" s="38"/>
      <c r="LDZ33" s="38"/>
      <c r="LEA33" s="38"/>
      <c r="LEB33" s="38"/>
      <c r="LEC33" s="38"/>
      <c r="LED33" s="38"/>
      <c r="LEE33" s="38"/>
      <c r="LEF33" s="38"/>
      <c r="LEG33" s="38"/>
      <c r="LEH33" s="38"/>
      <c r="LEI33" s="38"/>
      <c r="LEJ33" s="38"/>
      <c r="LEK33" s="38"/>
      <c r="LEL33" s="38"/>
      <c r="LEM33" s="38"/>
      <c r="LEN33" s="38"/>
      <c r="LEO33" s="38"/>
      <c r="LEP33" s="38"/>
      <c r="LEQ33" s="38"/>
      <c r="LER33" s="38"/>
      <c r="LES33" s="38"/>
      <c r="LET33" s="38"/>
      <c r="LEU33" s="38"/>
      <c r="LEV33" s="38"/>
      <c r="LEW33" s="38"/>
      <c r="LEX33" s="38"/>
      <c r="LEY33" s="38"/>
      <c r="LEZ33" s="38"/>
      <c r="LFA33" s="38"/>
      <c r="LFB33" s="38"/>
      <c r="LFC33" s="38"/>
      <c r="LFD33" s="38"/>
      <c r="LFE33" s="38"/>
      <c r="LFF33" s="38"/>
      <c r="LFG33" s="38"/>
      <c r="LFH33" s="38"/>
      <c r="LFI33" s="38"/>
      <c r="LFJ33" s="38"/>
      <c r="LFK33" s="38"/>
      <c r="LFL33" s="38"/>
      <c r="LFM33" s="38"/>
      <c r="LFN33" s="38"/>
      <c r="LFO33" s="38"/>
      <c r="LFP33" s="38"/>
      <c r="LFQ33" s="38"/>
      <c r="LFR33" s="38"/>
      <c r="LFS33" s="38"/>
      <c r="LFT33" s="38"/>
      <c r="LFU33" s="38"/>
      <c r="LFV33" s="38"/>
      <c r="LFW33" s="38"/>
      <c r="LFX33" s="38"/>
      <c r="LFY33" s="38"/>
      <c r="LFZ33" s="38"/>
      <c r="LGA33" s="38"/>
      <c r="LGB33" s="38"/>
      <c r="LGC33" s="38"/>
      <c r="LGD33" s="38"/>
      <c r="LGE33" s="38"/>
      <c r="LGF33" s="38"/>
      <c r="LGG33" s="38"/>
      <c r="LGH33" s="38"/>
      <c r="LGI33" s="38"/>
      <c r="LGJ33" s="38"/>
      <c r="LGK33" s="38"/>
      <c r="LGL33" s="38"/>
      <c r="LGM33" s="38"/>
      <c r="LGN33" s="38"/>
      <c r="LGO33" s="38"/>
      <c r="LGP33" s="38"/>
      <c r="LGQ33" s="38"/>
      <c r="LGR33" s="38"/>
      <c r="LGS33" s="38"/>
      <c r="LGT33" s="38"/>
      <c r="LGU33" s="38"/>
      <c r="LGV33" s="38"/>
      <c r="LGW33" s="38"/>
      <c r="LGX33" s="38"/>
      <c r="LGY33" s="38"/>
      <c r="LGZ33" s="38"/>
      <c r="LHA33" s="38"/>
      <c r="LHB33" s="38"/>
      <c r="LHC33" s="38"/>
      <c r="LHD33" s="38"/>
      <c r="LHE33" s="38"/>
      <c r="LHF33" s="38"/>
      <c r="LHG33" s="38"/>
      <c r="LHH33" s="38"/>
      <c r="LHI33" s="38"/>
      <c r="LHJ33" s="38"/>
      <c r="LHK33" s="38"/>
      <c r="LHL33" s="38"/>
      <c r="LHM33" s="38"/>
      <c r="LHN33" s="38"/>
      <c r="LHO33" s="38"/>
      <c r="LHP33" s="38"/>
      <c r="LHQ33" s="38"/>
      <c r="LHR33" s="38"/>
      <c r="LHS33" s="38"/>
      <c r="LHT33" s="38"/>
      <c r="LHU33" s="38"/>
      <c r="LHV33" s="38"/>
      <c r="LHW33" s="38"/>
      <c r="LHX33" s="38"/>
      <c r="LHY33" s="38"/>
      <c r="LHZ33" s="38"/>
      <c r="LIA33" s="38"/>
      <c r="LIB33" s="38"/>
      <c r="LIC33" s="38"/>
      <c r="LID33" s="38"/>
      <c r="LIE33" s="38"/>
      <c r="LIF33" s="38"/>
      <c r="LIG33" s="38"/>
      <c r="LIH33" s="38"/>
      <c r="LII33" s="38"/>
      <c r="LIJ33" s="38"/>
      <c r="LIK33" s="38"/>
      <c r="LIL33" s="38"/>
      <c r="LIM33" s="38"/>
      <c r="LIN33" s="38"/>
      <c r="LIO33" s="38"/>
      <c r="LIP33" s="38"/>
      <c r="LIQ33" s="38"/>
      <c r="LIR33" s="38"/>
      <c r="LIS33" s="38"/>
      <c r="LIT33" s="38"/>
      <c r="LIU33" s="38"/>
      <c r="LIV33" s="38"/>
      <c r="LIW33" s="38"/>
      <c r="LIX33" s="38"/>
      <c r="LIY33" s="38"/>
      <c r="LIZ33" s="38"/>
      <c r="LJA33" s="38"/>
      <c r="LJB33" s="38"/>
      <c r="LJC33" s="38"/>
      <c r="LJD33" s="38"/>
      <c r="LJE33" s="38"/>
      <c r="LJF33" s="38"/>
      <c r="LJG33" s="38"/>
      <c r="LJH33" s="38"/>
      <c r="LJI33" s="38"/>
      <c r="LJJ33" s="38"/>
      <c r="LJK33" s="38"/>
      <c r="LJL33" s="38"/>
      <c r="LJM33" s="38"/>
      <c r="LJN33" s="38"/>
      <c r="LJO33" s="38"/>
      <c r="LJP33" s="38"/>
      <c r="LJQ33" s="38"/>
      <c r="LJR33" s="38"/>
      <c r="LJS33" s="38"/>
      <c r="LJT33" s="38"/>
      <c r="LJU33" s="38"/>
      <c r="LJV33" s="38"/>
      <c r="LJW33" s="38"/>
      <c r="LJX33" s="38"/>
      <c r="LJY33" s="38"/>
      <c r="LJZ33" s="38"/>
      <c r="LKA33" s="38"/>
      <c r="LKB33" s="38"/>
      <c r="LKC33" s="38"/>
      <c r="LKD33" s="38"/>
      <c r="LKE33" s="38"/>
      <c r="LKF33" s="38"/>
      <c r="LKG33" s="38"/>
      <c r="LKH33" s="38"/>
      <c r="LKI33" s="38"/>
      <c r="LKJ33" s="38"/>
      <c r="LKK33" s="38"/>
      <c r="LKL33" s="38"/>
      <c r="LKM33" s="38"/>
      <c r="LKN33" s="38"/>
      <c r="LKO33" s="38"/>
      <c r="LKP33" s="38"/>
      <c r="LKQ33" s="38"/>
      <c r="LKR33" s="38"/>
      <c r="LKS33" s="38"/>
      <c r="LKT33" s="38"/>
      <c r="LKU33" s="38"/>
      <c r="LKV33" s="38"/>
      <c r="LKW33" s="38"/>
      <c r="LKX33" s="38"/>
      <c r="LKY33" s="38"/>
      <c r="LKZ33" s="38"/>
      <c r="LLA33" s="38"/>
      <c r="LLB33" s="38"/>
      <c r="LLC33" s="38"/>
      <c r="LLD33" s="38"/>
      <c r="LLE33" s="38"/>
      <c r="LLF33" s="38"/>
      <c r="LLG33" s="38"/>
      <c r="LLH33" s="38"/>
      <c r="LLI33" s="38"/>
      <c r="LLJ33" s="38"/>
      <c r="LLK33" s="38"/>
      <c r="LLL33" s="38"/>
      <c r="LLM33" s="38"/>
      <c r="LLN33" s="38"/>
      <c r="LLO33" s="38"/>
      <c r="LLP33" s="38"/>
      <c r="LLQ33" s="38"/>
      <c r="LLR33" s="38"/>
      <c r="LLS33" s="38"/>
      <c r="LLT33" s="38"/>
      <c r="LLU33" s="38"/>
      <c r="LLV33" s="38"/>
      <c r="LLW33" s="38"/>
      <c r="LLX33" s="38"/>
      <c r="LLY33" s="38"/>
      <c r="LLZ33" s="38"/>
      <c r="LMA33" s="38"/>
      <c r="LMB33" s="38"/>
      <c r="LMC33" s="38"/>
      <c r="LMD33" s="38"/>
      <c r="LME33" s="38"/>
      <c r="LMF33" s="38"/>
      <c r="LMG33" s="38"/>
      <c r="LMH33" s="38"/>
      <c r="LMI33" s="38"/>
      <c r="LMJ33" s="38"/>
      <c r="LMK33" s="38"/>
      <c r="LML33" s="38"/>
      <c r="LMM33" s="38"/>
      <c r="LMN33" s="38"/>
      <c r="LMO33" s="38"/>
      <c r="LMP33" s="38"/>
      <c r="LMQ33" s="38"/>
      <c r="LMR33" s="38"/>
      <c r="LMS33" s="38"/>
      <c r="LMT33" s="38"/>
      <c r="LMU33" s="38"/>
      <c r="LMV33" s="38"/>
      <c r="LMW33" s="38"/>
      <c r="LMX33" s="38"/>
      <c r="LMY33" s="38"/>
      <c r="LMZ33" s="38"/>
      <c r="LNA33" s="38"/>
      <c r="LNB33" s="38"/>
      <c r="LNC33" s="38"/>
      <c r="LND33" s="38"/>
      <c r="LNE33" s="38"/>
      <c r="LNF33" s="38"/>
      <c r="LNG33" s="38"/>
      <c r="LNH33" s="38"/>
      <c r="LNI33" s="38"/>
      <c r="LNJ33" s="38"/>
      <c r="LNK33" s="38"/>
      <c r="LNL33" s="38"/>
      <c r="LNM33" s="38"/>
      <c r="LNN33" s="38"/>
      <c r="LNO33" s="38"/>
      <c r="LNP33" s="38"/>
      <c r="LNQ33" s="38"/>
      <c r="LNR33" s="38"/>
      <c r="LNS33" s="38"/>
      <c r="LNT33" s="38"/>
      <c r="LNU33" s="38"/>
      <c r="LNV33" s="38"/>
      <c r="LNW33" s="38"/>
      <c r="LNX33" s="38"/>
      <c r="LNY33" s="38"/>
      <c r="LNZ33" s="38"/>
      <c r="LOA33" s="38"/>
      <c r="LOB33" s="38"/>
      <c r="LOC33" s="38"/>
      <c r="LOD33" s="38"/>
      <c r="LOE33" s="38"/>
      <c r="LOF33" s="38"/>
      <c r="LOG33" s="38"/>
      <c r="LOH33" s="38"/>
      <c r="LOI33" s="38"/>
      <c r="LOJ33" s="38"/>
      <c r="LOK33" s="38"/>
      <c r="LOL33" s="38"/>
      <c r="LOM33" s="38"/>
      <c r="LON33" s="38"/>
      <c r="LOO33" s="38"/>
      <c r="LOP33" s="38"/>
      <c r="LOQ33" s="38"/>
      <c r="LOR33" s="38"/>
      <c r="LOS33" s="38"/>
      <c r="LOT33" s="38"/>
      <c r="LOU33" s="38"/>
      <c r="LOV33" s="38"/>
      <c r="LOW33" s="38"/>
      <c r="LOX33" s="38"/>
      <c r="LOY33" s="38"/>
      <c r="LOZ33" s="38"/>
      <c r="LPA33" s="38"/>
      <c r="LPB33" s="38"/>
      <c r="LPC33" s="38"/>
      <c r="LPD33" s="38"/>
      <c r="LPE33" s="38"/>
      <c r="LPF33" s="38"/>
      <c r="LPG33" s="38"/>
      <c r="LPH33" s="38"/>
      <c r="LPI33" s="38"/>
      <c r="LPJ33" s="38"/>
      <c r="LPK33" s="38"/>
      <c r="LPL33" s="38"/>
      <c r="LPM33" s="38"/>
      <c r="LPN33" s="38"/>
      <c r="LPO33" s="38"/>
      <c r="LPP33" s="38"/>
      <c r="LPQ33" s="38"/>
      <c r="LPR33" s="38"/>
      <c r="LPS33" s="38"/>
      <c r="LPT33" s="38"/>
      <c r="LPU33" s="38"/>
      <c r="LPV33" s="38"/>
      <c r="LPW33" s="38"/>
      <c r="LPX33" s="38"/>
      <c r="LPY33" s="38"/>
      <c r="LPZ33" s="38"/>
      <c r="LQA33" s="38"/>
      <c r="LQB33" s="38"/>
      <c r="LQC33" s="38"/>
      <c r="LQD33" s="38"/>
      <c r="LQE33" s="38"/>
      <c r="LQF33" s="38"/>
      <c r="LQG33" s="38"/>
      <c r="LQH33" s="38"/>
      <c r="LQI33" s="38"/>
      <c r="LQJ33" s="38"/>
      <c r="LQK33" s="38"/>
      <c r="LQL33" s="38"/>
      <c r="LQM33" s="38"/>
      <c r="LQN33" s="38"/>
      <c r="LQO33" s="38"/>
      <c r="LQP33" s="38"/>
      <c r="LQQ33" s="38"/>
      <c r="LQR33" s="38"/>
      <c r="LQS33" s="38"/>
      <c r="LQT33" s="38"/>
      <c r="LQU33" s="38"/>
      <c r="LQV33" s="38"/>
      <c r="LQW33" s="38"/>
      <c r="LQX33" s="38"/>
      <c r="LQY33" s="38"/>
      <c r="LQZ33" s="38"/>
      <c r="LRA33" s="38"/>
      <c r="LRB33" s="38"/>
      <c r="LRC33" s="38"/>
      <c r="LRD33" s="38"/>
      <c r="LRE33" s="38"/>
      <c r="LRF33" s="38"/>
      <c r="LRG33" s="38"/>
      <c r="LRH33" s="38"/>
      <c r="LRI33" s="38"/>
      <c r="LRJ33" s="38"/>
      <c r="LRK33" s="38"/>
      <c r="LRL33" s="38"/>
      <c r="LRM33" s="38"/>
      <c r="LRN33" s="38"/>
      <c r="LRO33" s="38"/>
      <c r="LRP33" s="38"/>
      <c r="LRQ33" s="38"/>
      <c r="LRR33" s="38"/>
      <c r="LRS33" s="38"/>
      <c r="LRT33" s="38"/>
      <c r="LRU33" s="38"/>
      <c r="LRV33" s="38"/>
      <c r="LRW33" s="38"/>
      <c r="LRX33" s="38"/>
      <c r="LRY33" s="38"/>
      <c r="LRZ33" s="38"/>
      <c r="LSA33" s="38"/>
      <c r="LSB33" s="38"/>
      <c r="LSC33" s="38"/>
      <c r="LSD33" s="38"/>
      <c r="LSE33" s="38"/>
      <c r="LSF33" s="38"/>
      <c r="LSG33" s="38"/>
      <c r="LSH33" s="38"/>
      <c r="LSI33" s="38"/>
      <c r="LSJ33" s="38"/>
      <c r="LSK33" s="38"/>
      <c r="LSL33" s="38"/>
      <c r="LSM33" s="38"/>
      <c r="LSN33" s="38"/>
      <c r="LSO33" s="38"/>
      <c r="LSP33" s="38"/>
      <c r="LSQ33" s="38"/>
      <c r="LSR33" s="38"/>
      <c r="LSS33" s="38"/>
      <c r="LST33" s="38"/>
      <c r="LSU33" s="38"/>
      <c r="LSV33" s="38"/>
      <c r="LSW33" s="38"/>
      <c r="LSX33" s="38"/>
      <c r="LSY33" s="38"/>
      <c r="LSZ33" s="38"/>
      <c r="LTA33" s="38"/>
      <c r="LTB33" s="38"/>
      <c r="LTC33" s="38"/>
      <c r="LTD33" s="38"/>
      <c r="LTE33" s="38"/>
      <c r="LTF33" s="38"/>
      <c r="LTG33" s="38"/>
      <c r="LTH33" s="38"/>
      <c r="LTI33" s="38"/>
      <c r="LTJ33" s="38"/>
      <c r="LTK33" s="38"/>
      <c r="LTL33" s="38"/>
      <c r="LTM33" s="38"/>
      <c r="LTN33" s="38"/>
      <c r="LTO33" s="38"/>
      <c r="LTP33" s="38"/>
      <c r="LTQ33" s="38"/>
      <c r="LTR33" s="38"/>
      <c r="LTS33" s="38"/>
      <c r="LTT33" s="38"/>
      <c r="LTU33" s="38"/>
      <c r="LTV33" s="38"/>
      <c r="LTW33" s="38"/>
      <c r="LTX33" s="38"/>
      <c r="LTY33" s="38"/>
      <c r="LTZ33" s="38"/>
      <c r="LUA33" s="38"/>
      <c r="LUB33" s="38"/>
      <c r="LUC33" s="38"/>
      <c r="LUD33" s="38"/>
      <c r="LUE33" s="38"/>
      <c r="LUF33" s="38"/>
      <c r="LUG33" s="38"/>
      <c r="LUH33" s="38"/>
      <c r="LUI33" s="38"/>
      <c r="LUJ33" s="38"/>
      <c r="LUK33" s="38"/>
      <c r="LUL33" s="38"/>
      <c r="LUM33" s="38"/>
      <c r="LUN33" s="38"/>
      <c r="LUO33" s="38"/>
      <c r="LUP33" s="38"/>
      <c r="LUQ33" s="38"/>
      <c r="LUR33" s="38"/>
      <c r="LUS33" s="38"/>
      <c r="LUT33" s="38"/>
      <c r="LUU33" s="38"/>
      <c r="LUV33" s="38"/>
      <c r="LUW33" s="38"/>
      <c r="LUX33" s="38"/>
      <c r="LUY33" s="38"/>
      <c r="LUZ33" s="38"/>
      <c r="LVA33" s="38"/>
      <c r="LVB33" s="38"/>
      <c r="LVC33" s="38"/>
      <c r="LVD33" s="38"/>
      <c r="LVE33" s="38"/>
      <c r="LVF33" s="38"/>
      <c r="LVG33" s="38"/>
      <c r="LVH33" s="38"/>
      <c r="LVI33" s="38"/>
      <c r="LVJ33" s="38"/>
      <c r="LVK33" s="38"/>
      <c r="LVL33" s="38"/>
      <c r="LVM33" s="38"/>
      <c r="LVN33" s="38"/>
      <c r="LVO33" s="38"/>
      <c r="LVP33" s="38"/>
      <c r="LVQ33" s="38"/>
      <c r="LVR33" s="38"/>
      <c r="LVS33" s="38"/>
      <c r="LVT33" s="38"/>
      <c r="LVU33" s="38"/>
      <c r="LVV33" s="38"/>
      <c r="LVW33" s="38"/>
      <c r="LVX33" s="38"/>
      <c r="LVY33" s="38"/>
      <c r="LVZ33" s="38"/>
      <c r="LWA33" s="38"/>
      <c r="LWB33" s="38"/>
      <c r="LWC33" s="38"/>
      <c r="LWD33" s="38"/>
      <c r="LWE33" s="38"/>
      <c r="LWF33" s="38"/>
      <c r="LWG33" s="38"/>
      <c r="LWH33" s="38"/>
      <c r="LWI33" s="38"/>
      <c r="LWJ33" s="38"/>
      <c r="LWK33" s="38"/>
      <c r="LWL33" s="38"/>
      <c r="LWM33" s="38"/>
      <c r="LWN33" s="38"/>
      <c r="LWO33" s="38"/>
      <c r="LWP33" s="38"/>
      <c r="LWQ33" s="38"/>
      <c r="LWR33" s="38"/>
      <c r="LWS33" s="38"/>
      <c r="LWT33" s="38"/>
      <c r="LWU33" s="38"/>
      <c r="LWV33" s="38"/>
      <c r="LWW33" s="38"/>
      <c r="LWX33" s="38"/>
      <c r="LWY33" s="38"/>
      <c r="LWZ33" s="38"/>
      <c r="LXA33" s="38"/>
      <c r="LXB33" s="38"/>
      <c r="LXC33" s="38"/>
      <c r="LXD33" s="38"/>
      <c r="LXE33" s="38"/>
      <c r="LXF33" s="38"/>
      <c r="LXG33" s="38"/>
      <c r="LXH33" s="38"/>
      <c r="LXI33" s="38"/>
      <c r="LXJ33" s="38"/>
      <c r="LXK33" s="38"/>
      <c r="LXL33" s="38"/>
      <c r="LXM33" s="38"/>
      <c r="LXN33" s="38"/>
      <c r="LXO33" s="38"/>
      <c r="LXP33" s="38"/>
      <c r="LXQ33" s="38"/>
      <c r="LXR33" s="38"/>
      <c r="LXS33" s="38"/>
      <c r="LXT33" s="38"/>
      <c r="LXU33" s="38"/>
      <c r="LXV33" s="38"/>
      <c r="LXW33" s="38"/>
      <c r="LXX33" s="38"/>
      <c r="LXY33" s="38"/>
      <c r="LXZ33" s="38"/>
      <c r="LYA33" s="38"/>
      <c r="LYB33" s="38"/>
      <c r="LYC33" s="38"/>
      <c r="LYD33" s="38"/>
      <c r="LYE33" s="38"/>
      <c r="LYF33" s="38"/>
      <c r="LYG33" s="38"/>
      <c r="LYH33" s="38"/>
      <c r="LYI33" s="38"/>
      <c r="LYJ33" s="38"/>
      <c r="LYK33" s="38"/>
      <c r="LYL33" s="38"/>
      <c r="LYM33" s="38"/>
      <c r="LYN33" s="38"/>
      <c r="LYO33" s="38"/>
      <c r="LYP33" s="38"/>
      <c r="LYQ33" s="38"/>
      <c r="LYR33" s="38"/>
      <c r="LYS33" s="38"/>
      <c r="LYT33" s="38"/>
      <c r="LYU33" s="38"/>
      <c r="LYV33" s="38"/>
      <c r="LYW33" s="38"/>
      <c r="LYX33" s="38"/>
      <c r="LYY33" s="38"/>
      <c r="LYZ33" s="38"/>
      <c r="LZA33" s="38"/>
      <c r="LZB33" s="38"/>
      <c r="LZC33" s="38"/>
      <c r="LZD33" s="38"/>
      <c r="LZE33" s="38"/>
      <c r="LZF33" s="38"/>
      <c r="LZG33" s="38"/>
      <c r="LZH33" s="38"/>
      <c r="LZI33" s="38"/>
      <c r="LZJ33" s="38"/>
      <c r="LZK33" s="38"/>
      <c r="LZL33" s="38"/>
      <c r="LZM33" s="38"/>
      <c r="LZN33" s="38"/>
      <c r="LZO33" s="38"/>
      <c r="LZP33" s="38"/>
      <c r="LZQ33" s="38"/>
      <c r="LZR33" s="38"/>
      <c r="LZS33" s="38"/>
      <c r="LZT33" s="38"/>
      <c r="LZU33" s="38"/>
      <c r="LZV33" s="38"/>
      <c r="LZW33" s="38"/>
      <c r="LZX33" s="38"/>
      <c r="LZY33" s="38"/>
      <c r="LZZ33" s="38"/>
      <c r="MAA33" s="38"/>
      <c r="MAB33" s="38"/>
      <c r="MAC33" s="38"/>
      <c r="MAD33" s="38"/>
      <c r="MAE33" s="38"/>
      <c r="MAF33" s="38"/>
      <c r="MAG33" s="38"/>
      <c r="MAH33" s="38"/>
      <c r="MAI33" s="38"/>
      <c r="MAJ33" s="38"/>
      <c r="MAK33" s="38"/>
      <c r="MAL33" s="38"/>
      <c r="MAM33" s="38"/>
      <c r="MAN33" s="38"/>
      <c r="MAO33" s="38"/>
      <c r="MAP33" s="38"/>
      <c r="MAQ33" s="38"/>
      <c r="MAR33" s="38"/>
      <c r="MAS33" s="38"/>
      <c r="MAT33" s="38"/>
      <c r="MAU33" s="38"/>
      <c r="MAV33" s="38"/>
      <c r="MAW33" s="38"/>
      <c r="MAX33" s="38"/>
      <c r="MAY33" s="38"/>
      <c r="MAZ33" s="38"/>
      <c r="MBA33" s="38"/>
      <c r="MBB33" s="38"/>
      <c r="MBC33" s="38"/>
      <c r="MBD33" s="38"/>
      <c r="MBE33" s="38"/>
      <c r="MBF33" s="38"/>
      <c r="MBG33" s="38"/>
      <c r="MBH33" s="38"/>
      <c r="MBI33" s="38"/>
      <c r="MBJ33" s="38"/>
      <c r="MBK33" s="38"/>
      <c r="MBL33" s="38"/>
      <c r="MBM33" s="38"/>
      <c r="MBN33" s="38"/>
      <c r="MBO33" s="38"/>
      <c r="MBP33" s="38"/>
      <c r="MBQ33" s="38"/>
      <c r="MBR33" s="38"/>
      <c r="MBS33" s="38"/>
      <c r="MBT33" s="38"/>
      <c r="MBU33" s="38"/>
      <c r="MBV33" s="38"/>
      <c r="MBW33" s="38"/>
      <c r="MBX33" s="38"/>
      <c r="MBY33" s="38"/>
      <c r="MBZ33" s="38"/>
      <c r="MCA33" s="38"/>
      <c r="MCB33" s="38"/>
      <c r="MCC33" s="38"/>
      <c r="MCD33" s="38"/>
      <c r="MCE33" s="38"/>
      <c r="MCF33" s="38"/>
      <c r="MCG33" s="38"/>
      <c r="MCH33" s="38"/>
      <c r="MCI33" s="38"/>
      <c r="MCJ33" s="38"/>
      <c r="MCK33" s="38"/>
      <c r="MCL33" s="38"/>
      <c r="MCM33" s="38"/>
      <c r="MCN33" s="38"/>
      <c r="MCO33" s="38"/>
      <c r="MCP33" s="38"/>
      <c r="MCQ33" s="38"/>
      <c r="MCR33" s="38"/>
      <c r="MCS33" s="38"/>
      <c r="MCT33" s="38"/>
      <c r="MCU33" s="38"/>
      <c r="MCV33" s="38"/>
      <c r="MCW33" s="38"/>
      <c r="MCX33" s="38"/>
      <c r="MCY33" s="38"/>
      <c r="MCZ33" s="38"/>
      <c r="MDA33" s="38"/>
      <c r="MDB33" s="38"/>
      <c r="MDC33" s="38"/>
      <c r="MDD33" s="38"/>
      <c r="MDE33" s="38"/>
      <c r="MDF33" s="38"/>
      <c r="MDG33" s="38"/>
      <c r="MDH33" s="38"/>
      <c r="MDI33" s="38"/>
      <c r="MDJ33" s="38"/>
      <c r="MDK33" s="38"/>
      <c r="MDL33" s="38"/>
      <c r="MDM33" s="38"/>
      <c r="MDN33" s="38"/>
      <c r="MDO33" s="38"/>
      <c r="MDP33" s="38"/>
      <c r="MDQ33" s="38"/>
      <c r="MDR33" s="38"/>
      <c r="MDS33" s="38"/>
      <c r="MDT33" s="38"/>
      <c r="MDU33" s="38"/>
      <c r="MDV33" s="38"/>
      <c r="MDW33" s="38"/>
      <c r="MDX33" s="38"/>
      <c r="MDY33" s="38"/>
      <c r="MDZ33" s="38"/>
      <c r="MEA33" s="38"/>
      <c r="MEB33" s="38"/>
      <c r="MEC33" s="38"/>
      <c r="MED33" s="38"/>
      <c r="MEE33" s="38"/>
      <c r="MEF33" s="38"/>
      <c r="MEG33" s="38"/>
      <c r="MEH33" s="38"/>
      <c r="MEI33" s="38"/>
      <c r="MEJ33" s="38"/>
      <c r="MEK33" s="38"/>
      <c r="MEL33" s="38"/>
      <c r="MEM33" s="38"/>
      <c r="MEN33" s="38"/>
      <c r="MEO33" s="38"/>
      <c r="MEP33" s="38"/>
      <c r="MEQ33" s="38"/>
      <c r="MER33" s="38"/>
      <c r="MES33" s="38"/>
      <c r="MET33" s="38"/>
      <c r="MEU33" s="38"/>
      <c r="MEV33" s="38"/>
      <c r="MEW33" s="38"/>
      <c r="MEX33" s="38"/>
      <c r="MEY33" s="38"/>
      <c r="MEZ33" s="38"/>
      <c r="MFA33" s="38"/>
      <c r="MFB33" s="38"/>
      <c r="MFC33" s="38"/>
      <c r="MFD33" s="38"/>
      <c r="MFE33" s="38"/>
      <c r="MFF33" s="38"/>
      <c r="MFG33" s="38"/>
      <c r="MFH33" s="38"/>
      <c r="MFI33" s="38"/>
      <c r="MFJ33" s="38"/>
      <c r="MFK33" s="38"/>
      <c r="MFL33" s="38"/>
      <c r="MFM33" s="38"/>
      <c r="MFN33" s="38"/>
      <c r="MFO33" s="38"/>
      <c r="MFP33" s="38"/>
      <c r="MFQ33" s="38"/>
      <c r="MFR33" s="38"/>
      <c r="MFS33" s="38"/>
      <c r="MFT33" s="38"/>
      <c r="MFU33" s="38"/>
      <c r="MFV33" s="38"/>
      <c r="MFW33" s="38"/>
      <c r="MFX33" s="38"/>
      <c r="MFY33" s="38"/>
      <c r="MFZ33" s="38"/>
      <c r="MGA33" s="38"/>
      <c r="MGB33" s="38"/>
      <c r="MGC33" s="38"/>
      <c r="MGD33" s="38"/>
      <c r="MGE33" s="38"/>
      <c r="MGF33" s="38"/>
      <c r="MGG33" s="38"/>
      <c r="MGH33" s="38"/>
      <c r="MGI33" s="38"/>
      <c r="MGJ33" s="38"/>
      <c r="MGK33" s="38"/>
      <c r="MGL33" s="38"/>
      <c r="MGM33" s="38"/>
      <c r="MGN33" s="38"/>
      <c r="MGO33" s="38"/>
      <c r="MGP33" s="38"/>
      <c r="MGQ33" s="38"/>
      <c r="MGR33" s="38"/>
      <c r="MGS33" s="38"/>
      <c r="MGT33" s="38"/>
      <c r="MGU33" s="38"/>
      <c r="MGV33" s="38"/>
      <c r="MGW33" s="38"/>
      <c r="MGX33" s="38"/>
      <c r="MGY33" s="38"/>
      <c r="MGZ33" s="38"/>
      <c r="MHA33" s="38"/>
      <c r="MHB33" s="38"/>
      <c r="MHC33" s="38"/>
      <c r="MHD33" s="38"/>
      <c r="MHE33" s="38"/>
      <c r="MHF33" s="38"/>
      <c r="MHG33" s="38"/>
      <c r="MHH33" s="38"/>
      <c r="MHI33" s="38"/>
      <c r="MHJ33" s="38"/>
      <c r="MHK33" s="38"/>
      <c r="MHL33" s="38"/>
      <c r="MHM33" s="38"/>
      <c r="MHN33" s="38"/>
      <c r="MHO33" s="38"/>
      <c r="MHP33" s="38"/>
      <c r="MHQ33" s="38"/>
      <c r="MHR33" s="38"/>
      <c r="MHS33" s="38"/>
      <c r="MHT33" s="38"/>
      <c r="MHU33" s="38"/>
      <c r="MHV33" s="38"/>
      <c r="MHW33" s="38"/>
      <c r="MHX33" s="38"/>
      <c r="MHY33" s="38"/>
      <c r="MHZ33" s="38"/>
      <c r="MIA33" s="38"/>
      <c r="MIB33" s="38"/>
      <c r="MIC33" s="38"/>
      <c r="MID33" s="38"/>
      <c r="MIE33" s="38"/>
      <c r="MIF33" s="38"/>
      <c r="MIG33" s="38"/>
      <c r="MIH33" s="38"/>
      <c r="MII33" s="38"/>
      <c r="MIJ33" s="38"/>
      <c r="MIK33" s="38"/>
      <c r="MIL33" s="38"/>
      <c r="MIM33" s="38"/>
      <c r="MIN33" s="38"/>
      <c r="MIO33" s="38"/>
      <c r="MIP33" s="38"/>
      <c r="MIQ33" s="38"/>
      <c r="MIR33" s="38"/>
      <c r="MIS33" s="38"/>
      <c r="MIT33" s="38"/>
      <c r="MIU33" s="38"/>
      <c r="MIV33" s="38"/>
      <c r="MIW33" s="38"/>
      <c r="MIX33" s="38"/>
      <c r="MIY33" s="38"/>
      <c r="MIZ33" s="38"/>
      <c r="MJA33" s="38"/>
      <c r="MJB33" s="38"/>
      <c r="MJC33" s="38"/>
      <c r="MJD33" s="38"/>
      <c r="MJE33" s="38"/>
      <c r="MJF33" s="38"/>
      <c r="MJG33" s="38"/>
      <c r="MJH33" s="38"/>
      <c r="MJI33" s="38"/>
      <c r="MJJ33" s="38"/>
      <c r="MJK33" s="38"/>
      <c r="MJL33" s="38"/>
      <c r="MJM33" s="38"/>
      <c r="MJN33" s="38"/>
      <c r="MJO33" s="38"/>
      <c r="MJP33" s="38"/>
      <c r="MJQ33" s="38"/>
      <c r="MJR33" s="38"/>
      <c r="MJS33" s="38"/>
      <c r="MJT33" s="38"/>
      <c r="MJU33" s="38"/>
      <c r="MJV33" s="38"/>
      <c r="MJW33" s="38"/>
      <c r="MJX33" s="38"/>
      <c r="MJY33" s="38"/>
      <c r="MJZ33" s="38"/>
      <c r="MKA33" s="38"/>
      <c r="MKB33" s="38"/>
      <c r="MKC33" s="38"/>
      <c r="MKD33" s="38"/>
      <c r="MKE33" s="38"/>
      <c r="MKF33" s="38"/>
      <c r="MKG33" s="38"/>
      <c r="MKH33" s="38"/>
      <c r="MKI33" s="38"/>
      <c r="MKJ33" s="38"/>
      <c r="MKK33" s="38"/>
      <c r="MKL33" s="38"/>
      <c r="MKM33" s="38"/>
      <c r="MKN33" s="38"/>
      <c r="MKO33" s="38"/>
      <c r="MKP33" s="38"/>
      <c r="MKQ33" s="38"/>
      <c r="MKR33" s="38"/>
      <c r="MKS33" s="38"/>
      <c r="MKT33" s="38"/>
      <c r="MKU33" s="38"/>
      <c r="MKV33" s="38"/>
      <c r="MKW33" s="38"/>
      <c r="MKX33" s="38"/>
      <c r="MKY33" s="38"/>
      <c r="MKZ33" s="38"/>
      <c r="MLA33" s="38"/>
      <c r="MLB33" s="38"/>
      <c r="MLC33" s="38"/>
      <c r="MLD33" s="38"/>
      <c r="MLE33" s="38"/>
      <c r="MLF33" s="38"/>
      <c r="MLG33" s="38"/>
      <c r="MLH33" s="38"/>
      <c r="MLI33" s="38"/>
      <c r="MLJ33" s="38"/>
      <c r="MLK33" s="38"/>
      <c r="MLL33" s="38"/>
      <c r="MLM33" s="38"/>
      <c r="MLN33" s="38"/>
      <c r="MLO33" s="38"/>
      <c r="MLP33" s="38"/>
      <c r="MLQ33" s="38"/>
      <c r="MLR33" s="38"/>
      <c r="MLS33" s="38"/>
      <c r="MLT33" s="38"/>
      <c r="MLU33" s="38"/>
      <c r="MLV33" s="38"/>
      <c r="MLW33" s="38"/>
      <c r="MLX33" s="38"/>
      <c r="MLY33" s="38"/>
      <c r="MLZ33" s="38"/>
      <c r="MMA33" s="38"/>
      <c r="MMB33" s="38"/>
      <c r="MMC33" s="38"/>
      <c r="MMD33" s="38"/>
      <c r="MME33" s="38"/>
      <c r="MMF33" s="38"/>
      <c r="MMG33" s="38"/>
      <c r="MMH33" s="38"/>
      <c r="MMI33" s="38"/>
      <c r="MMJ33" s="38"/>
      <c r="MMK33" s="38"/>
      <c r="MML33" s="38"/>
      <c r="MMM33" s="38"/>
      <c r="MMN33" s="38"/>
      <c r="MMO33" s="38"/>
      <c r="MMP33" s="38"/>
      <c r="MMQ33" s="38"/>
      <c r="MMR33" s="38"/>
      <c r="MMS33" s="38"/>
      <c r="MMT33" s="38"/>
      <c r="MMU33" s="38"/>
      <c r="MMV33" s="38"/>
      <c r="MMW33" s="38"/>
      <c r="MMX33" s="38"/>
      <c r="MMY33" s="38"/>
      <c r="MMZ33" s="38"/>
      <c r="MNA33" s="38"/>
      <c r="MNB33" s="38"/>
      <c r="MNC33" s="38"/>
      <c r="MND33" s="38"/>
      <c r="MNE33" s="38"/>
      <c r="MNF33" s="38"/>
      <c r="MNG33" s="38"/>
      <c r="MNH33" s="38"/>
      <c r="MNI33" s="38"/>
      <c r="MNJ33" s="38"/>
      <c r="MNK33" s="38"/>
      <c r="MNL33" s="38"/>
      <c r="MNM33" s="38"/>
      <c r="MNN33" s="38"/>
      <c r="MNO33" s="38"/>
      <c r="MNP33" s="38"/>
      <c r="MNQ33" s="38"/>
      <c r="MNR33" s="38"/>
      <c r="MNS33" s="38"/>
      <c r="MNT33" s="38"/>
      <c r="MNU33" s="38"/>
      <c r="MNV33" s="38"/>
      <c r="MNW33" s="38"/>
      <c r="MNX33" s="38"/>
      <c r="MNY33" s="38"/>
      <c r="MNZ33" s="38"/>
      <c r="MOA33" s="38"/>
      <c r="MOB33" s="38"/>
      <c r="MOC33" s="38"/>
      <c r="MOD33" s="38"/>
      <c r="MOE33" s="38"/>
      <c r="MOF33" s="38"/>
      <c r="MOG33" s="38"/>
      <c r="MOH33" s="38"/>
      <c r="MOI33" s="38"/>
      <c r="MOJ33" s="38"/>
      <c r="MOK33" s="38"/>
      <c r="MOL33" s="38"/>
      <c r="MOM33" s="38"/>
      <c r="MON33" s="38"/>
      <c r="MOO33" s="38"/>
      <c r="MOP33" s="38"/>
      <c r="MOQ33" s="38"/>
      <c r="MOR33" s="38"/>
      <c r="MOS33" s="38"/>
      <c r="MOT33" s="38"/>
      <c r="MOU33" s="38"/>
      <c r="MOV33" s="38"/>
      <c r="MOW33" s="38"/>
      <c r="MOX33" s="38"/>
      <c r="MOY33" s="38"/>
      <c r="MOZ33" s="38"/>
      <c r="MPA33" s="38"/>
      <c r="MPB33" s="38"/>
      <c r="MPC33" s="38"/>
      <c r="MPD33" s="38"/>
      <c r="MPE33" s="38"/>
      <c r="MPF33" s="38"/>
      <c r="MPG33" s="38"/>
      <c r="MPH33" s="38"/>
      <c r="MPI33" s="38"/>
      <c r="MPJ33" s="38"/>
      <c r="MPK33" s="38"/>
      <c r="MPL33" s="38"/>
      <c r="MPM33" s="38"/>
      <c r="MPN33" s="38"/>
      <c r="MPO33" s="38"/>
      <c r="MPP33" s="38"/>
      <c r="MPQ33" s="38"/>
      <c r="MPR33" s="38"/>
      <c r="MPS33" s="38"/>
      <c r="MPT33" s="38"/>
      <c r="MPU33" s="38"/>
      <c r="MPV33" s="38"/>
      <c r="MPW33" s="38"/>
      <c r="MPX33" s="38"/>
      <c r="MPY33" s="38"/>
      <c r="MPZ33" s="38"/>
      <c r="MQA33" s="38"/>
      <c r="MQB33" s="38"/>
      <c r="MQC33" s="38"/>
      <c r="MQD33" s="38"/>
      <c r="MQE33" s="38"/>
      <c r="MQF33" s="38"/>
      <c r="MQG33" s="38"/>
      <c r="MQH33" s="38"/>
      <c r="MQI33" s="38"/>
      <c r="MQJ33" s="38"/>
      <c r="MQK33" s="38"/>
      <c r="MQL33" s="38"/>
      <c r="MQM33" s="38"/>
      <c r="MQN33" s="38"/>
      <c r="MQO33" s="38"/>
      <c r="MQP33" s="38"/>
      <c r="MQQ33" s="38"/>
      <c r="MQR33" s="38"/>
      <c r="MQS33" s="38"/>
      <c r="MQT33" s="38"/>
      <c r="MQU33" s="38"/>
      <c r="MQV33" s="38"/>
      <c r="MQW33" s="38"/>
      <c r="MQX33" s="38"/>
      <c r="MQY33" s="38"/>
      <c r="MQZ33" s="38"/>
      <c r="MRA33" s="38"/>
      <c r="MRB33" s="38"/>
      <c r="MRC33" s="38"/>
      <c r="MRD33" s="38"/>
      <c r="MRE33" s="38"/>
      <c r="MRF33" s="38"/>
      <c r="MRG33" s="38"/>
      <c r="MRH33" s="38"/>
      <c r="MRI33" s="38"/>
      <c r="MRJ33" s="38"/>
      <c r="MRK33" s="38"/>
      <c r="MRL33" s="38"/>
      <c r="MRM33" s="38"/>
      <c r="MRN33" s="38"/>
      <c r="MRO33" s="38"/>
      <c r="MRP33" s="38"/>
      <c r="MRQ33" s="38"/>
      <c r="MRR33" s="38"/>
      <c r="MRS33" s="38"/>
      <c r="MRT33" s="38"/>
      <c r="MRU33" s="38"/>
      <c r="MRV33" s="38"/>
      <c r="MRW33" s="38"/>
      <c r="MRX33" s="38"/>
      <c r="MRY33" s="38"/>
      <c r="MRZ33" s="38"/>
      <c r="MSA33" s="38"/>
      <c r="MSB33" s="38"/>
      <c r="MSC33" s="38"/>
      <c r="MSD33" s="38"/>
      <c r="MSE33" s="38"/>
      <c r="MSF33" s="38"/>
      <c r="MSG33" s="38"/>
      <c r="MSH33" s="38"/>
      <c r="MSI33" s="38"/>
      <c r="MSJ33" s="38"/>
      <c r="MSK33" s="38"/>
      <c r="MSL33" s="38"/>
      <c r="MSM33" s="38"/>
      <c r="MSN33" s="38"/>
      <c r="MSO33" s="38"/>
      <c r="MSP33" s="38"/>
      <c r="MSQ33" s="38"/>
      <c r="MSR33" s="38"/>
      <c r="MSS33" s="38"/>
      <c r="MST33" s="38"/>
      <c r="MSU33" s="38"/>
      <c r="MSV33" s="38"/>
      <c r="MSW33" s="38"/>
      <c r="MSX33" s="38"/>
      <c r="MSY33" s="38"/>
      <c r="MSZ33" s="38"/>
      <c r="MTA33" s="38"/>
      <c r="MTB33" s="38"/>
      <c r="MTC33" s="38"/>
      <c r="MTD33" s="38"/>
      <c r="MTE33" s="38"/>
      <c r="MTF33" s="38"/>
      <c r="MTG33" s="38"/>
      <c r="MTH33" s="38"/>
      <c r="MTI33" s="38"/>
      <c r="MTJ33" s="38"/>
      <c r="MTK33" s="38"/>
      <c r="MTL33" s="38"/>
      <c r="MTM33" s="38"/>
      <c r="MTN33" s="38"/>
      <c r="MTO33" s="38"/>
      <c r="MTP33" s="38"/>
      <c r="MTQ33" s="38"/>
      <c r="MTR33" s="38"/>
      <c r="MTS33" s="38"/>
      <c r="MTT33" s="38"/>
      <c r="MTU33" s="38"/>
      <c r="MTV33" s="38"/>
      <c r="MTW33" s="38"/>
      <c r="MTX33" s="38"/>
      <c r="MTY33" s="38"/>
      <c r="MTZ33" s="38"/>
      <c r="MUA33" s="38"/>
      <c r="MUB33" s="38"/>
      <c r="MUC33" s="38"/>
      <c r="MUD33" s="38"/>
      <c r="MUE33" s="38"/>
      <c r="MUF33" s="38"/>
      <c r="MUG33" s="38"/>
      <c r="MUH33" s="38"/>
      <c r="MUI33" s="38"/>
      <c r="MUJ33" s="38"/>
      <c r="MUK33" s="38"/>
      <c r="MUL33" s="38"/>
      <c r="MUM33" s="38"/>
      <c r="MUN33" s="38"/>
      <c r="MUO33" s="38"/>
      <c r="MUP33" s="38"/>
      <c r="MUQ33" s="38"/>
      <c r="MUR33" s="38"/>
      <c r="MUS33" s="38"/>
      <c r="MUT33" s="38"/>
      <c r="MUU33" s="38"/>
      <c r="MUV33" s="38"/>
      <c r="MUW33" s="38"/>
      <c r="MUX33" s="38"/>
      <c r="MUY33" s="38"/>
      <c r="MUZ33" s="38"/>
      <c r="MVA33" s="38"/>
      <c r="MVB33" s="38"/>
      <c r="MVC33" s="38"/>
      <c r="MVD33" s="38"/>
      <c r="MVE33" s="38"/>
      <c r="MVF33" s="38"/>
      <c r="MVG33" s="38"/>
      <c r="MVH33" s="38"/>
      <c r="MVI33" s="38"/>
      <c r="MVJ33" s="38"/>
      <c r="MVK33" s="38"/>
      <c r="MVL33" s="38"/>
      <c r="MVM33" s="38"/>
      <c r="MVN33" s="38"/>
      <c r="MVO33" s="38"/>
      <c r="MVP33" s="38"/>
      <c r="MVQ33" s="38"/>
      <c r="MVR33" s="38"/>
      <c r="MVS33" s="38"/>
      <c r="MVT33" s="38"/>
      <c r="MVU33" s="38"/>
      <c r="MVV33" s="38"/>
      <c r="MVW33" s="38"/>
      <c r="MVX33" s="38"/>
      <c r="MVY33" s="38"/>
      <c r="MVZ33" s="38"/>
      <c r="MWA33" s="38"/>
      <c r="MWB33" s="38"/>
      <c r="MWC33" s="38"/>
      <c r="MWD33" s="38"/>
      <c r="MWE33" s="38"/>
      <c r="MWF33" s="38"/>
      <c r="MWG33" s="38"/>
      <c r="MWH33" s="38"/>
      <c r="MWI33" s="38"/>
      <c r="MWJ33" s="38"/>
      <c r="MWK33" s="38"/>
      <c r="MWL33" s="38"/>
      <c r="MWM33" s="38"/>
      <c r="MWN33" s="38"/>
      <c r="MWO33" s="38"/>
      <c r="MWP33" s="38"/>
      <c r="MWQ33" s="38"/>
      <c r="MWR33" s="38"/>
      <c r="MWS33" s="38"/>
      <c r="MWT33" s="38"/>
      <c r="MWU33" s="38"/>
      <c r="MWV33" s="38"/>
      <c r="MWW33" s="38"/>
      <c r="MWX33" s="38"/>
      <c r="MWY33" s="38"/>
      <c r="MWZ33" s="38"/>
      <c r="MXA33" s="38"/>
      <c r="MXB33" s="38"/>
      <c r="MXC33" s="38"/>
      <c r="MXD33" s="38"/>
      <c r="MXE33" s="38"/>
      <c r="MXF33" s="38"/>
      <c r="MXG33" s="38"/>
      <c r="MXH33" s="38"/>
      <c r="MXI33" s="38"/>
      <c r="MXJ33" s="38"/>
      <c r="MXK33" s="38"/>
      <c r="MXL33" s="38"/>
      <c r="MXM33" s="38"/>
      <c r="MXN33" s="38"/>
      <c r="MXO33" s="38"/>
      <c r="MXP33" s="38"/>
      <c r="MXQ33" s="38"/>
      <c r="MXR33" s="38"/>
      <c r="MXS33" s="38"/>
      <c r="MXT33" s="38"/>
      <c r="MXU33" s="38"/>
      <c r="MXV33" s="38"/>
      <c r="MXW33" s="38"/>
      <c r="MXX33" s="38"/>
      <c r="MXY33" s="38"/>
      <c r="MXZ33" s="38"/>
      <c r="MYA33" s="38"/>
      <c r="MYB33" s="38"/>
      <c r="MYC33" s="38"/>
      <c r="MYD33" s="38"/>
      <c r="MYE33" s="38"/>
      <c r="MYF33" s="38"/>
      <c r="MYG33" s="38"/>
      <c r="MYH33" s="38"/>
      <c r="MYI33" s="38"/>
      <c r="MYJ33" s="38"/>
      <c r="MYK33" s="38"/>
      <c r="MYL33" s="38"/>
      <c r="MYM33" s="38"/>
      <c r="MYN33" s="38"/>
      <c r="MYO33" s="38"/>
      <c r="MYP33" s="38"/>
      <c r="MYQ33" s="38"/>
      <c r="MYR33" s="38"/>
      <c r="MYS33" s="38"/>
      <c r="MYT33" s="38"/>
      <c r="MYU33" s="38"/>
      <c r="MYV33" s="38"/>
      <c r="MYW33" s="38"/>
      <c r="MYX33" s="38"/>
      <c r="MYY33" s="38"/>
      <c r="MYZ33" s="38"/>
      <c r="MZA33" s="38"/>
      <c r="MZB33" s="38"/>
      <c r="MZC33" s="38"/>
      <c r="MZD33" s="38"/>
      <c r="MZE33" s="38"/>
      <c r="MZF33" s="38"/>
      <c r="MZG33" s="38"/>
      <c r="MZH33" s="38"/>
      <c r="MZI33" s="38"/>
      <c r="MZJ33" s="38"/>
      <c r="MZK33" s="38"/>
      <c r="MZL33" s="38"/>
      <c r="MZM33" s="38"/>
      <c r="MZN33" s="38"/>
      <c r="MZO33" s="38"/>
      <c r="MZP33" s="38"/>
      <c r="MZQ33" s="38"/>
      <c r="MZR33" s="38"/>
      <c r="MZS33" s="38"/>
      <c r="MZT33" s="38"/>
      <c r="MZU33" s="38"/>
      <c r="MZV33" s="38"/>
      <c r="MZW33" s="38"/>
      <c r="MZX33" s="38"/>
      <c r="MZY33" s="38"/>
      <c r="MZZ33" s="38"/>
      <c r="NAA33" s="38"/>
      <c r="NAB33" s="38"/>
      <c r="NAC33" s="38"/>
      <c r="NAD33" s="38"/>
      <c r="NAE33" s="38"/>
      <c r="NAF33" s="38"/>
      <c r="NAG33" s="38"/>
      <c r="NAH33" s="38"/>
      <c r="NAI33" s="38"/>
      <c r="NAJ33" s="38"/>
      <c r="NAK33" s="38"/>
      <c r="NAL33" s="38"/>
      <c r="NAM33" s="38"/>
      <c r="NAN33" s="38"/>
      <c r="NAO33" s="38"/>
      <c r="NAP33" s="38"/>
      <c r="NAQ33" s="38"/>
      <c r="NAR33" s="38"/>
      <c r="NAS33" s="38"/>
      <c r="NAT33" s="38"/>
      <c r="NAU33" s="38"/>
      <c r="NAV33" s="38"/>
      <c r="NAW33" s="38"/>
      <c r="NAX33" s="38"/>
      <c r="NAY33" s="38"/>
      <c r="NAZ33" s="38"/>
      <c r="NBA33" s="38"/>
      <c r="NBB33" s="38"/>
      <c r="NBC33" s="38"/>
      <c r="NBD33" s="38"/>
      <c r="NBE33" s="38"/>
      <c r="NBF33" s="38"/>
      <c r="NBG33" s="38"/>
      <c r="NBH33" s="38"/>
      <c r="NBI33" s="38"/>
      <c r="NBJ33" s="38"/>
      <c r="NBK33" s="38"/>
      <c r="NBL33" s="38"/>
      <c r="NBM33" s="38"/>
      <c r="NBN33" s="38"/>
      <c r="NBO33" s="38"/>
      <c r="NBP33" s="38"/>
      <c r="NBQ33" s="38"/>
      <c r="NBR33" s="38"/>
      <c r="NBS33" s="38"/>
      <c r="NBT33" s="38"/>
      <c r="NBU33" s="38"/>
      <c r="NBV33" s="38"/>
      <c r="NBW33" s="38"/>
      <c r="NBX33" s="38"/>
      <c r="NBY33" s="38"/>
      <c r="NBZ33" s="38"/>
      <c r="NCA33" s="38"/>
      <c r="NCB33" s="38"/>
      <c r="NCC33" s="38"/>
      <c r="NCD33" s="38"/>
      <c r="NCE33" s="38"/>
      <c r="NCF33" s="38"/>
      <c r="NCG33" s="38"/>
      <c r="NCH33" s="38"/>
      <c r="NCI33" s="38"/>
      <c r="NCJ33" s="38"/>
      <c r="NCK33" s="38"/>
      <c r="NCL33" s="38"/>
      <c r="NCM33" s="38"/>
      <c r="NCN33" s="38"/>
      <c r="NCO33" s="38"/>
      <c r="NCP33" s="38"/>
      <c r="NCQ33" s="38"/>
      <c r="NCR33" s="38"/>
      <c r="NCS33" s="38"/>
      <c r="NCT33" s="38"/>
      <c r="NCU33" s="38"/>
      <c r="NCV33" s="38"/>
      <c r="NCW33" s="38"/>
      <c r="NCX33" s="38"/>
      <c r="NCY33" s="38"/>
      <c r="NCZ33" s="38"/>
      <c r="NDA33" s="38"/>
      <c r="NDB33" s="38"/>
      <c r="NDC33" s="38"/>
      <c r="NDD33" s="38"/>
      <c r="NDE33" s="38"/>
      <c r="NDF33" s="38"/>
      <c r="NDG33" s="38"/>
      <c r="NDH33" s="38"/>
      <c r="NDI33" s="38"/>
      <c r="NDJ33" s="38"/>
      <c r="NDK33" s="38"/>
      <c r="NDL33" s="38"/>
      <c r="NDM33" s="38"/>
      <c r="NDN33" s="38"/>
      <c r="NDO33" s="38"/>
      <c r="NDP33" s="38"/>
      <c r="NDQ33" s="38"/>
      <c r="NDR33" s="38"/>
      <c r="NDS33" s="38"/>
      <c r="NDT33" s="38"/>
      <c r="NDU33" s="38"/>
      <c r="NDV33" s="38"/>
      <c r="NDW33" s="38"/>
      <c r="NDX33" s="38"/>
      <c r="NDY33" s="38"/>
      <c r="NDZ33" s="38"/>
      <c r="NEA33" s="38"/>
      <c r="NEB33" s="38"/>
      <c r="NEC33" s="38"/>
      <c r="NED33" s="38"/>
      <c r="NEE33" s="38"/>
      <c r="NEF33" s="38"/>
      <c r="NEG33" s="38"/>
      <c r="NEH33" s="38"/>
      <c r="NEI33" s="38"/>
      <c r="NEJ33" s="38"/>
      <c r="NEK33" s="38"/>
      <c r="NEL33" s="38"/>
      <c r="NEM33" s="38"/>
      <c r="NEN33" s="38"/>
      <c r="NEO33" s="38"/>
      <c r="NEP33" s="38"/>
      <c r="NEQ33" s="38"/>
      <c r="NER33" s="38"/>
      <c r="NES33" s="38"/>
      <c r="NET33" s="38"/>
      <c r="NEU33" s="38"/>
      <c r="NEV33" s="38"/>
      <c r="NEW33" s="38"/>
      <c r="NEX33" s="38"/>
      <c r="NEY33" s="38"/>
      <c r="NEZ33" s="38"/>
      <c r="NFA33" s="38"/>
      <c r="NFB33" s="38"/>
      <c r="NFC33" s="38"/>
      <c r="NFD33" s="38"/>
      <c r="NFE33" s="38"/>
      <c r="NFF33" s="38"/>
      <c r="NFG33" s="38"/>
      <c r="NFH33" s="38"/>
      <c r="NFI33" s="38"/>
      <c r="NFJ33" s="38"/>
      <c r="NFK33" s="38"/>
      <c r="NFL33" s="38"/>
      <c r="NFM33" s="38"/>
      <c r="NFN33" s="38"/>
      <c r="NFO33" s="38"/>
      <c r="NFP33" s="38"/>
      <c r="NFQ33" s="38"/>
      <c r="NFR33" s="38"/>
      <c r="NFS33" s="38"/>
      <c r="NFT33" s="38"/>
      <c r="NFU33" s="38"/>
      <c r="NFV33" s="38"/>
      <c r="NFW33" s="38"/>
      <c r="NFX33" s="38"/>
      <c r="NFY33" s="38"/>
      <c r="NFZ33" s="38"/>
      <c r="NGA33" s="38"/>
      <c r="NGB33" s="38"/>
      <c r="NGC33" s="38"/>
      <c r="NGD33" s="38"/>
      <c r="NGE33" s="38"/>
      <c r="NGF33" s="38"/>
      <c r="NGG33" s="38"/>
      <c r="NGH33" s="38"/>
      <c r="NGI33" s="38"/>
      <c r="NGJ33" s="38"/>
      <c r="NGK33" s="38"/>
      <c r="NGL33" s="38"/>
      <c r="NGM33" s="38"/>
      <c r="NGN33" s="38"/>
      <c r="NGO33" s="38"/>
      <c r="NGP33" s="38"/>
      <c r="NGQ33" s="38"/>
      <c r="NGR33" s="38"/>
      <c r="NGS33" s="38"/>
      <c r="NGT33" s="38"/>
      <c r="NGU33" s="38"/>
      <c r="NGV33" s="38"/>
      <c r="NGW33" s="38"/>
      <c r="NGX33" s="38"/>
      <c r="NGY33" s="38"/>
      <c r="NGZ33" s="38"/>
      <c r="NHA33" s="38"/>
      <c r="NHB33" s="38"/>
      <c r="NHC33" s="38"/>
      <c r="NHD33" s="38"/>
      <c r="NHE33" s="38"/>
      <c r="NHF33" s="38"/>
      <c r="NHG33" s="38"/>
      <c r="NHH33" s="38"/>
      <c r="NHI33" s="38"/>
      <c r="NHJ33" s="38"/>
      <c r="NHK33" s="38"/>
      <c r="NHL33" s="38"/>
      <c r="NHM33" s="38"/>
      <c r="NHN33" s="38"/>
      <c r="NHO33" s="38"/>
      <c r="NHP33" s="38"/>
      <c r="NHQ33" s="38"/>
      <c r="NHR33" s="38"/>
      <c r="NHS33" s="38"/>
      <c r="NHT33" s="38"/>
      <c r="NHU33" s="38"/>
      <c r="NHV33" s="38"/>
      <c r="NHW33" s="38"/>
      <c r="NHX33" s="38"/>
      <c r="NHY33" s="38"/>
      <c r="NHZ33" s="38"/>
      <c r="NIA33" s="38"/>
      <c r="NIB33" s="38"/>
      <c r="NIC33" s="38"/>
      <c r="NID33" s="38"/>
      <c r="NIE33" s="38"/>
      <c r="NIF33" s="38"/>
      <c r="NIG33" s="38"/>
      <c r="NIH33" s="38"/>
      <c r="NII33" s="38"/>
      <c r="NIJ33" s="38"/>
      <c r="NIK33" s="38"/>
      <c r="NIL33" s="38"/>
      <c r="NIM33" s="38"/>
      <c r="NIN33" s="38"/>
      <c r="NIO33" s="38"/>
      <c r="NIP33" s="38"/>
      <c r="NIQ33" s="38"/>
      <c r="NIR33" s="38"/>
      <c r="NIS33" s="38"/>
      <c r="NIT33" s="38"/>
      <c r="NIU33" s="38"/>
      <c r="NIV33" s="38"/>
      <c r="NIW33" s="38"/>
      <c r="NIX33" s="38"/>
      <c r="NIY33" s="38"/>
      <c r="NIZ33" s="38"/>
      <c r="NJA33" s="38"/>
      <c r="NJB33" s="38"/>
      <c r="NJC33" s="38"/>
      <c r="NJD33" s="38"/>
      <c r="NJE33" s="38"/>
      <c r="NJF33" s="38"/>
      <c r="NJG33" s="38"/>
      <c r="NJH33" s="38"/>
      <c r="NJI33" s="38"/>
      <c r="NJJ33" s="38"/>
      <c r="NJK33" s="38"/>
      <c r="NJL33" s="38"/>
      <c r="NJM33" s="38"/>
      <c r="NJN33" s="38"/>
      <c r="NJO33" s="38"/>
      <c r="NJP33" s="38"/>
      <c r="NJQ33" s="38"/>
      <c r="NJR33" s="38"/>
      <c r="NJS33" s="38"/>
      <c r="NJT33" s="38"/>
      <c r="NJU33" s="38"/>
      <c r="NJV33" s="38"/>
      <c r="NJW33" s="38"/>
      <c r="NJX33" s="38"/>
      <c r="NJY33" s="38"/>
      <c r="NJZ33" s="38"/>
      <c r="NKA33" s="38"/>
      <c r="NKB33" s="38"/>
      <c r="NKC33" s="38"/>
      <c r="NKD33" s="38"/>
      <c r="NKE33" s="38"/>
      <c r="NKF33" s="38"/>
      <c r="NKG33" s="38"/>
      <c r="NKH33" s="38"/>
      <c r="NKI33" s="38"/>
      <c r="NKJ33" s="38"/>
      <c r="NKK33" s="38"/>
      <c r="NKL33" s="38"/>
      <c r="NKM33" s="38"/>
      <c r="NKN33" s="38"/>
      <c r="NKO33" s="38"/>
      <c r="NKP33" s="38"/>
      <c r="NKQ33" s="38"/>
      <c r="NKR33" s="38"/>
      <c r="NKS33" s="38"/>
      <c r="NKT33" s="38"/>
      <c r="NKU33" s="38"/>
      <c r="NKV33" s="38"/>
      <c r="NKW33" s="38"/>
      <c r="NKX33" s="38"/>
      <c r="NKY33" s="38"/>
      <c r="NKZ33" s="38"/>
      <c r="NLA33" s="38"/>
      <c r="NLB33" s="38"/>
      <c r="NLC33" s="38"/>
      <c r="NLD33" s="38"/>
      <c r="NLE33" s="38"/>
      <c r="NLF33" s="38"/>
      <c r="NLG33" s="38"/>
      <c r="NLH33" s="38"/>
      <c r="NLI33" s="38"/>
      <c r="NLJ33" s="38"/>
      <c r="NLK33" s="38"/>
      <c r="NLL33" s="38"/>
      <c r="NLM33" s="38"/>
      <c r="NLN33" s="38"/>
      <c r="NLO33" s="38"/>
      <c r="NLP33" s="38"/>
      <c r="NLQ33" s="38"/>
      <c r="NLR33" s="38"/>
      <c r="NLS33" s="38"/>
      <c r="NLT33" s="38"/>
      <c r="NLU33" s="38"/>
      <c r="NLV33" s="38"/>
      <c r="NLW33" s="38"/>
      <c r="NLX33" s="38"/>
      <c r="NLY33" s="38"/>
      <c r="NLZ33" s="38"/>
      <c r="NMA33" s="38"/>
      <c r="NMB33" s="38"/>
      <c r="NMC33" s="38"/>
      <c r="NMD33" s="38"/>
      <c r="NME33" s="38"/>
      <c r="NMF33" s="38"/>
      <c r="NMG33" s="38"/>
      <c r="NMH33" s="38"/>
      <c r="NMI33" s="38"/>
      <c r="NMJ33" s="38"/>
      <c r="NMK33" s="38"/>
      <c r="NML33" s="38"/>
      <c r="NMM33" s="38"/>
      <c r="NMN33" s="38"/>
      <c r="NMO33" s="38"/>
      <c r="NMP33" s="38"/>
      <c r="NMQ33" s="38"/>
      <c r="NMR33" s="38"/>
      <c r="NMS33" s="38"/>
      <c r="NMT33" s="38"/>
      <c r="NMU33" s="38"/>
      <c r="NMV33" s="38"/>
      <c r="NMW33" s="38"/>
      <c r="NMX33" s="38"/>
      <c r="NMY33" s="38"/>
      <c r="NMZ33" s="38"/>
      <c r="NNA33" s="38"/>
      <c r="NNB33" s="38"/>
      <c r="NNC33" s="38"/>
      <c r="NND33" s="38"/>
      <c r="NNE33" s="38"/>
      <c r="NNF33" s="38"/>
      <c r="NNG33" s="38"/>
      <c r="NNH33" s="38"/>
      <c r="NNI33" s="38"/>
      <c r="NNJ33" s="38"/>
      <c r="NNK33" s="38"/>
      <c r="NNL33" s="38"/>
      <c r="NNM33" s="38"/>
      <c r="NNN33" s="38"/>
      <c r="NNO33" s="38"/>
      <c r="NNP33" s="38"/>
      <c r="NNQ33" s="38"/>
      <c r="NNR33" s="38"/>
      <c r="NNS33" s="38"/>
      <c r="NNT33" s="38"/>
      <c r="NNU33" s="38"/>
      <c r="NNV33" s="38"/>
      <c r="NNW33" s="38"/>
      <c r="NNX33" s="38"/>
      <c r="NNY33" s="38"/>
      <c r="NNZ33" s="38"/>
      <c r="NOA33" s="38"/>
      <c r="NOB33" s="38"/>
      <c r="NOC33" s="38"/>
      <c r="NOD33" s="38"/>
      <c r="NOE33" s="38"/>
      <c r="NOF33" s="38"/>
      <c r="NOG33" s="38"/>
      <c r="NOH33" s="38"/>
      <c r="NOI33" s="38"/>
      <c r="NOJ33" s="38"/>
      <c r="NOK33" s="38"/>
      <c r="NOL33" s="38"/>
      <c r="NOM33" s="38"/>
      <c r="NON33" s="38"/>
      <c r="NOO33" s="38"/>
      <c r="NOP33" s="38"/>
      <c r="NOQ33" s="38"/>
      <c r="NOR33" s="38"/>
      <c r="NOS33" s="38"/>
      <c r="NOT33" s="38"/>
      <c r="NOU33" s="38"/>
      <c r="NOV33" s="38"/>
      <c r="NOW33" s="38"/>
      <c r="NOX33" s="38"/>
      <c r="NOY33" s="38"/>
      <c r="NOZ33" s="38"/>
      <c r="NPA33" s="38"/>
      <c r="NPB33" s="38"/>
      <c r="NPC33" s="38"/>
      <c r="NPD33" s="38"/>
      <c r="NPE33" s="38"/>
      <c r="NPF33" s="38"/>
      <c r="NPG33" s="38"/>
      <c r="NPH33" s="38"/>
      <c r="NPI33" s="38"/>
      <c r="NPJ33" s="38"/>
      <c r="NPK33" s="38"/>
      <c r="NPL33" s="38"/>
      <c r="NPM33" s="38"/>
      <c r="NPN33" s="38"/>
      <c r="NPO33" s="38"/>
      <c r="NPP33" s="38"/>
      <c r="NPQ33" s="38"/>
      <c r="NPR33" s="38"/>
      <c r="NPS33" s="38"/>
      <c r="NPT33" s="38"/>
      <c r="NPU33" s="38"/>
      <c r="NPV33" s="38"/>
      <c r="NPW33" s="38"/>
      <c r="NPX33" s="38"/>
      <c r="NPY33" s="38"/>
      <c r="NPZ33" s="38"/>
      <c r="NQA33" s="38"/>
      <c r="NQB33" s="38"/>
      <c r="NQC33" s="38"/>
      <c r="NQD33" s="38"/>
      <c r="NQE33" s="38"/>
      <c r="NQF33" s="38"/>
      <c r="NQG33" s="38"/>
      <c r="NQH33" s="38"/>
      <c r="NQI33" s="38"/>
      <c r="NQJ33" s="38"/>
      <c r="NQK33" s="38"/>
      <c r="NQL33" s="38"/>
      <c r="NQM33" s="38"/>
      <c r="NQN33" s="38"/>
      <c r="NQO33" s="38"/>
      <c r="NQP33" s="38"/>
      <c r="NQQ33" s="38"/>
      <c r="NQR33" s="38"/>
      <c r="NQS33" s="38"/>
      <c r="NQT33" s="38"/>
      <c r="NQU33" s="38"/>
      <c r="NQV33" s="38"/>
      <c r="NQW33" s="38"/>
      <c r="NQX33" s="38"/>
      <c r="NQY33" s="38"/>
      <c r="NQZ33" s="38"/>
      <c r="NRA33" s="38"/>
      <c r="NRB33" s="38"/>
      <c r="NRC33" s="38"/>
      <c r="NRD33" s="38"/>
      <c r="NRE33" s="38"/>
      <c r="NRF33" s="38"/>
      <c r="NRG33" s="38"/>
      <c r="NRH33" s="38"/>
      <c r="NRI33" s="38"/>
      <c r="NRJ33" s="38"/>
      <c r="NRK33" s="38"/>
      <c r="NRL33" s="38"/>
      <c r="NRM33" s="38"/>
      <c r="NRN33" s="38"/>
      <c r="NRO33" s="38"/>
      <c r="NRP33" s="38"/>
      <c r="NRQ33" s="38"/>
      <c r="NRR33" s="38"/>
      <c r="NRS33" s="38"/>
      <c r="NRT33" s="38"/>
      <c r="NRU33" s="38"/>
      <c r="NRV33" s="38"/>
      <c r="NRW33" s="38"/>
      <c r="NRX33" s="38"/>
      <c r="NRY33" s="38"/>
      <c r="NRZ33" s="38"/>
      <c r="NSA33" s="38"/>
      <c r="NSB33" s="38"/>
      <c r="NSC33" s="38"/>
      <c r="NSD33" s="38"/>
      <c r="NSE33" s="38"/>
      <c r="NSF33" s="38"/>
      <c r="NSG33" s="38"/>
      <c r="NSH33" s="38"/>
      <c r="NSI33" s="38"/>
      <c r="NSJ33" s="38"/>
      <c r="NSK33" s="38"/>
      <c r="NSL33" s="38"/>
      <c r="NSM33" s="38"/>
      <c r="NSN33" s="38"/>
      <c r="NSO33" s="38"/>
      <c r="NSP33" s="38"/>
      <c r="NSQ33" s="38"/>
      <c r="NSR33" s="38"/>
      <c r="NSS33" s="38"/>
      <c r="NST33" s="38"/>
      <c r="NSU33" s="38"/>
      <c r="NSV33" s="38"/>
      <c r="NSW33" s="38"/>
      <c r="NSX33" s="38"/>
      <c r="NSY33" s="38"/>
      <c r="NSZ33" s="38"/>
      <c r="NTA33" s="38"/>
      <c r="NTB33" s="38"/>
      <c r="NTC33" s="38"/>
      <c r="NTD33" s="38"/>
      <c r="NTE33" s="38"/>
      <c r="NTF33" s="38"/>
      <c r="NTG33" s="38"/>
      <c r="NTH33" s="38"/>
      <c r="NTI33" s="38"/>
      <c r="NTJ33" s="38"/>
      <c r="NTK33" s="38"/>
      <c r="NTL33" s="38"/>
      <c r="NTM33" s="38"/>
      <c r="NTN33" s="38"/>
      <c r="NTO33" s="38"/>
      <c r="NTP33" s="38"/>
      <c r="NTQ33" s="38"/>
      <c r="NTR33" s="38"/>
      <c r="NTS33" s="38"/>
      <c r="NTT33" s="38"/>
      <c r="NTU33" s="38"/>
      <c r="NTV33" s="38"/>
      <c r="NTW33" s="38"/>
      <c r="NTX33" s="38"/>
      <c r="NTY33" s="38"/>
      <c r="NTZ33" s="38"/>
      <c r="NUA33" s="38"/>
      <c r="NUB33" s="38"/>
      <c r="NUC33" s="38"/>
      <c r="NUD33" s="38"/>
      <c r="NUE33" s="38"/>
      <c r="NUF33" s="38"/>
      <c r="NUG33" s="38"/>
      <c r="NUH33" s="38"/>
      <c r="NUI33" s="38"/>
      <c r="NUJ33" s="38"/>
      <c r="NUK33" s="38"/>
      <c r="NUL33" s="38"/>
      <c r="NUM33" s="38"/>
      <c r="NUN33" s="38"/>
      <c r="NUO33" s="38"/>
      <c r="NUP33" s="38"/>
      <c r="NUQ33" s="38"/>
      <c r="NUR33" s="38"/>
      <c r="NUS33" s="38"/>
      <c r="NUT33" s="38"/>
      <c r="NUU33" s="38"/>
      <c r="NUV33" s="38"/>
      <c r="NUW33" s="38"/>
      <c r="NUX33" s="38"/>
      <c r="NUY33" s="38"/>
      <c r="NUZ33" s="38"/>
      <c r="NVA33" s="38"/>
      <c r="NVB33" s="38"/>
      <c r="NVC33" s="38"/>
      <c r="NVD33" s="38"/>
      <c r="NVE33" s="38"/>
      <c r="NVF33" s="38"/>
      <c r="NVG33" s="38"/>
      <c r="NVH33" s="38"/>
      <c r="NVI33" s="38"/>
      <c r="NVJ33" s="38"/>
      <c r="NVK33" s="38"/>
      <c r="NVL33" s="38"/>
      <c r="NVM33" s="38"/>
      <c r="NVN33" s="38"/>
      <c r="NVO33" s="38"/>
      <c r="NVP33" s="38"/>
      <c r="NVQ33" s="38"/>
      <c r="NVR33" s="38"/>
      <c r="NVS33" s="38"/>
      <c r="NVT33" s="38"/>
      <c r="NVU33" s="38"/>
      <c r="NVV33" s="38"/>
      <c r="NVW33" s="38"/>
      <c r="NVX33" s="38"/>
      <c r="NVY33" s="38"/>
      <c r="NVZ33" s="38"/>
      <c r="NWA33" s="38"/>
      <c r="NWB33" s="38"/>
      <c r="NWC33" s="38"/>
      <c r="NWD33" s="38"/>
      <c r="NWE33" s="38"/>
      <c r="NWF33" s="38"/>
      <c r="NWG33" s="38"/>
      <c r="NWH33" s="38"/>
      <c r="NWI33" s="38"/>
      <c r="NWJ33" s="38"/>
      <c r="NWK33" s="38"/>
      <c r="NWL33" s="38"/>
      <c r="NWM33" s="38"/>
      <c r="NWN33" s="38"/>
      <c r="NWO33" s="38"/>
      <c r="NWP33" s="38"/>
      <c r="NWQ33" s="38"/>
      <c r="NWR33" s="38"/>
      <c r="NWS33" s="38"/>
      <c r="NWT33" s="38"/>
      <c r="NWU33" s="38"/>
      <c r="NWV33" s="38"/>
      <c r="NWW33" s="38"/>
      <c r="NWX33" s="38"/>
      <c r="NWY33" s="38"/>
      <c r="NWZ33" s="38"/>
      <c r="NXA33" s="38"/>
      <c r="NXB33" s="38"/>
      <c r="NXC33" s="38"/>
      <c r="NXD33" s="38"/>
      <c r="NXE33" s="38"/>
      <c r="NXF33" s="38"/>
      <c r="NXG33" s="38"/>
      <c r="NXH33" s="38"/>
      <c r="NXI33" s="38"/>
      <c r="NXJ33" s="38"/>
      <c r="NXK33" s="38"/>
      <c r="NXL33" s="38"/>
      <c r="NXM33" s="38"/>
      <c r="NXN33" s="38"/>
      <c r="NXO33" s="38"/>
      <c r="NXP33" s="38"/>
      <c r="NXQ33" s="38"/>
      <c r="NXR33" s="38"/>
      <c r="NXS33" s="38"/>
      <c r="NXT33" s="38"/>
      <c r="NXU33" s="38"/>
      <c r="NXV33" s="38"/>
      <c r="NXW33" s="38"/>
      <c r="NXX33" s="38"/>
      <c r="NXY33" s="38"/>
      <c r="NXZ33" s="38"/>
      <c r="NYA33" s="38"/>
      <c r="NYB33" s="38"/>
      <c r="NYC33" s="38"/>
      <c r="NYD33" s="38"/>
      <c r="NYE33" s="38"/>
      <c r="NYF33" s="38"/>
      <c r="NYG33" s="38"/>
      <c r="NYH33" s="38"/>
      <c r="NYI33" s="38"/>
      <c r="NYJ33" s="38"/>
      <c r="NYK33" s="38"/>
      <c r="NYL33" s="38"/>
      <c r="NYM33" s="38"/>
      <c r="NYN33" s="38"/>
      <c r="NYO33" s="38"/>
      <c r="NYP33" s="38"/>
      <c r="NYQ33" s="38"/>
      <c r="NYR33" s="38"/>
      <c r="NYS33" s="38"/>
      <c r="NYT33" s="38"/>
      <c r="NYU33" s="38"/>
      <c r="NYV33" s="38"/>
      <c r="NYW33" s="38"/>
      <c r="NYX33" s="38"/>
      <c r="NYY33" s="38"/>
      <c r="NYZ33" s="38"/>
      <c r="NZA33" s="38"/>
      <c r="NZB33" s="38"/>
      <c r="NZC33" s="38"/>
      <c r="NZD33" s="38"/>
      <c r="NZE33" s="38"/>
      <c r="NZF33" s="38"/>
      <c r="NZG33" s="38"/>
      <c r="NZH33" s="38"/>
      <c r="NZI33" s="38"/>
      <c r="NZJ33" s="38"/>
      <c r="NZK33" s="38"/>
      <c r="NZL33" s="38"/>
      <c r="NZM33" s="38"/>
      <c r="NZN33" s="38"/>
      <c r="NZO33" s="38"/>
      <c r="NZP33" s="38"/>
      <c r="NZQ33" s="38"/>
      <c r="NZR33" s="38"/>
      <c r="NZS33" s="38"/>
      <c r="NZT33" s="38"/>
      <c r="NZU33" s="38"/>
      <c r="NZV33" s="38"/>
      <c r="NZW33" s="38"/>
      <c r="NZX33" s="38"/>
      <c r="NZY33" s="38"/>
      <c r="NZZ33" s="38"/>
      <c r="OAA33" s="38"/>
      <c r="OAB33" s="38"/>
      <c r="OAC33" s="38"/>
      <c r="OAD33" s="38"/>
      <c r="OAE33" s="38"/>
      <c r="OAF33" s="38"/>
      <c r="OAG33" s="38"/>
      <c r="OAH33" s="38"/>
      <c r="OAI33" s="38"/>
      <c r="OAJ33" s="38"/>
      <c r="OAK33" s="38"/>
      <c r="OAL33" s="38"/>
      <c r="OAM33" s="38"/>
      <c r="OAN33" s="38"/>
      <c r="OAO33" s="38"/>
      <c r="OAP33" s="38"/>
      <c r="OAQ33" s="38"/>
      <c r="OAR33" s="38"/>
      <c r="OAS33" s="38"/>
      <c r="OAT33" s="38"/>
      <c r="OAU33" s="38"/>
      <c r="OAV33" s="38"/>
      <c r="OAW33" s="38"/>
      <c r="OAX33" s="38"/>
      <c r="OAY33" s="38"/>
      <c r="OAZ33" s="38"/>
      <c r="OBA33" s="38"/>
      <c r="OBB33" s="38"/>
      <c r="OBC33" s="38"/>
      <c r="OBD33" s="38"/>
      <c r="OBE33" s="38"/>
      <c r="OBF33" s="38"/>
      <c r="OBG33" s="38"/>
      <c r="OBH33" s="38"/>
      <c r="OBI33" s="38"/>
      <c r="OBJ33" s="38"/>
      <c r="OBK33" s="38"/>
      <c r="OBL33" s="38"/>
      <c r="OBM33" s="38"/>
      <c r="OBN33" s="38"/>
      <c r="OBO33" s="38"/>
      <c r="OBP33" s="38"/>
      <c r="OBQ33" s="38"/>
      <c r="OBR33" s="38"/>
      <c r="OBS33" s="38"/>
      <c r="OBT33" s="38"/>
      <c r="OBU33" s="38"/>
      <c r="OBV33" s="38"/>
      <c r="OBW33" s="38"/>
      <c r="OBX33" s="38"/>
      <c r="OBY33" s="38"/>
      <c r="OBZ33" s="38"/>
      <c r="OCA33" s="38"/>
      <c r="OCB33" s="38"/>
      <c r="OCC33" s="38"/>
      <c r="OCD33" s="38"/>
      <c r="OCE33" s="38"/>
      <c r="OCF33" s="38"/>
      <c r="OCG33" s="38"/>
      <c r="OCH33" s="38"/>
      <c r="OCI33" s="38"/>
      <c r="OCJ33" s="38"/>
      <c r="OCK33" s="38"/>
      <c r="OCL33" s="38"/>
      <c r="OCM33" s="38"/>
      <c r="OCN33" s="38"/>
      <c r="OCO33" s="38"/>
      <c r="OCP33" s="38"/>
      <c r="OCQ33" s="38"/>
      <c r="OCR33" s="38"/>
      <c r="OCS33" s="38"/>
      <c r="OCT33" s="38"/>
      <c r="OCU33" s="38"/>
      <c r="OCV33" s="38"/>
      <c r="OCW33" s="38"/>
      <c r="OCX33" s="38"/>
      <c r="OCY33" s="38"/>
      <c r="OCZ33" s="38"/>
      <c r="ODA33" s="38"/>
      <c r="ODB33" s="38"/>
      <c r="ODC33" s="38"/>
      <c r="ODD33" s="38"/>
      <c r="ODE33" s="38"/>
      <c r="ODF33" s="38"/>
      <c r="ODG33" s="38"/>
      <c r="ODH33" s="38"/>
      <c r="ODI33" s="38"/>
      <c r="ODJ33" s="38"/>
      <c r="ODK33" s="38"/>
      <c r="ODL33" s="38"/>
      <c r="ODM33" s="38"/>
      <c r="ODN33" s="38"/>
      <c r="ODO33" s="38"/>
      <c r="ODP33" s="38"/>
      <c r="ODQ33" s="38"/>
      <c r="ODR33" s="38"/>
      <c r="ODS33" s="38"/>
      <c r="ODT33" s="38"/>
      <c r="ODU33" s="38"/>
      <c r="ODV33" s="38"/>
      <c r="ODW33" s="38"/>
      <c r="ODX33" s="38"/>
      <c r="ODY33" s="38"/>
      <c r="ODZ33" s="38"/>
      <c r="OEA33" s="38"/>
      <c r="OEB33" s="38"/>
      <c r="OEC33" s="38"/>
      <c r="OED33" s="38"/>
      <c r="OEE33" s="38"/>
      <c r="OEF33" s="38"/>
      <c r="OEG33" s="38"/>
      <c r="OEH33" s="38"/>
      <c r="OEI33" s="38"/>
      <c r="OEJ33" s="38"/>
      <c r="OEK33" s="38"/>
      <c r="OEL33" s="38"/>
      <c r="OEM33" s="38"/>
      <c r="OEN33" s="38"/>
      <c r="OEO33" s="38"/>
      <c r="OEP33" s="38"/>
      <c r="OEQ33" s="38"/>
      <c r="OER33" s="38"/>
      <c r="OES33" s="38"/>
      <c r="OET33" s="38"/>
      <c r="OEU33" s="38"/>
      <c r="OEV33" s="38"/>
      <c r="OEW33" s="38"/>
      <c r="OEX33" s="38"/>
      <c r="OEY33" s="38"/>
      <c r="OEZ33" s="38"/>
      <c r="OFA33" s="38"/>
      <c r="OFB33" s="38"/>
      <c r="OFC33" s="38"/>
      <c r="OFD33" s="38"/>
      <c r="OFE33" s="38"/>
      <c r="OFF33" s="38"/>
      <c r="OFG33" s="38"/>
      <c r="OFH33" s="38"/>
      <c r="OFI33" s="38"/>
      <c r="OFJ33" s="38"/>
      <c r="OFK33" s="38"/>
      <c r="OFL33" s="38"/>
      <c r="OFM33" s="38"/>
      <c r="OFN33" s="38"/>
      <c r="OFO33" s="38"/>
      <c r="OFP33" s="38"/>
      <c r="OFQ33" s="38"/>
      <c r="OFR33" s="38"/>
      <c r="OFS33" s="38"/>
      <c r="OFT33" s="38"/>
      <c r="OFU33" s="38"/>
      <c r="OFV33" s="38"/>
      <c r="OFW33" s="38"/>
      <c r="OFX33" s="38"/>
      <c r="OFY33" s="38"/>
      <c r="OFZ33" s="38"/>
      <c r="OGA33" s="38"/>
      <c r="OGB33" s="38"/>
      <c r="OGC33" s="38"/>
      <c r="OGD33" s="38"/>
      <c r="OGE33" s="38"/>
      <c r="OGF33" s="38"/>
      <c r="OGG33" s="38"/>
      <c r="OGH33" s="38"/>
      <c r="OGI33" s="38"/>
      <c r="OGJ33" s="38"/>
      <c r="OGK33" s="38"/>
      <c r="OGL33" s="38"/>
      <c r="OGM33" s="38"/>
      <c r="OGN33" s="38"/>
      <c r="OGO33" s="38"/>
      <c r="OGP33" s="38"/>
      <c r="OGQ33" s="38"/>
      <c r="OGR33" s="38"/>
      <c r="OGS33" s="38"/>
      <c r="OGT33" s="38"/>
      <c r="OGU33" s="38"/>
      <c r="OGV33" s="38"/>
      <c r="OGW33" s="38"/>
      <c r="OGX33" s="38"/>
      <c r="OGY33" s="38"/>
      <c r="OGZ33" s="38"/>
      <c r="OHA33" s="38"/>
      <c r="OHB33" s="38"/>
      <c r="OHC33" s="38"/>
      <c r="OHD33" s="38"/>
      <c r="OHE33" s="38"/>
      <c r="OHF33" s="38"/>
      <c r="OHG33" s="38"/>
      <c r="OHH33" s="38"/>
      <c r="OHI33" s="38"/>
      <c r="OHJ33" s="38"/>
      <c r="OHK33" s="38"/>
      <c r="OHL33" s="38"/>
      <c r="OHM33" s="38"/>
      <c r="OHN33" s="38"/>
      <c r="OHO33" s="38"/>
      <c r="OHP33" s="38"/>
      <c r="OHQ33" s="38"/>
      <c r="OHR33" s="38"/>
      <c r="OHS33" s="38"/>
      <c r="OHT33" s="38"/>
      <c r="OHU33" s="38"/>
      <c r="OHV33" s="38"/>
      <c r="OHW33" s="38"/>
      <c r="OHX33" s="38"/>
      <c r="OHY33" s="38"/>
      <c r="OHZ33" s="38"/>
      <c r="OIA33" s="38"/>
      <c r="OIB33" s="38"/>
      <c r="OIC33" s="38"/>
      <c r="OID33" s="38"/>
      <c r="OIE33" s="38"/>
      <c r="OIF33" s="38"/>
      <c r="OIG33" s="38"/>
      <c r="OIH33" s="38"/>
      <c r="OII33" s="38"/>
      <c r="OIJ33" s="38"/>
      <c r="OIK33" s="38"/>
      <c r="OIL33" s="38"/>
      <c r="OIM33" s="38"/>
      <c r="OIN33" s="38"/>
      <c r="OIO33" s="38"/>
      <c r="OIP33" s="38"/>
      <c r="OIQ33" s="38"/>
      <c r="OIR33" s="38"/>
      <c r="OIS33" s="38"/>
      <c r="OIT33" s="38"/>
      <c r="OIU33" s="38"/>
      <c r="OIV33" s="38"/>
      <c r="OIW33" s="38"/>
      <c r="OIX33" s="38"/>
      <c r="OIY33" s="38"/>
      <c r="OIZ33" s="38"/>
      <c r="OJA33" s="38"/>
      <c r="OJB33" s="38"/>
      <c r="OJC33" s="38"/>
      <c r="OJD33" s="38"/>
      <c r="OJE33" s="38"/>
      <c r="OJF33" s="38"/>
      <c r="OJG33" s="38"/>
      <c r="OJH33" s="38"/>
      <c r="OJI33" s="38"/>
      <c r="OJJ33" s="38"/>
      <c r="OJK33" s="38"/>
      <c r="OJL33" s="38"/>
      <c r="OJM33" s="38"/>
      <c r="OJN33" s="38"/>
      <c r="OJO33" s="38"/>
      <c r="OJP33" s="38"/>
      <c r="OJQ33" s="38"/>
      <c r="OJR33" s="38"/>
      <c r="OJS33" s="38"/>
      <c r="OJT33" s="38"/>
      <c r="OJU33" s="38"/>
      <c r="OJV33" s="38"/>
      <c r="OJW33" s="38"/>
      <c r="OJX33" s="38"/>
      <c r="OJY33" s="38"/>
      <c r="OJZ33" s="38"/>
      <c r="OKA33" s="38"/>
      <c r="OKB33" s="38"/>
      <c r="OKC33" s="38"/>
      <c r="OKD33" s="38"/>
      <c r="OKE33" s="38"/>
      <c r="OKF33" s="38"/>
      <c r="OKG33" s="38"/>
      <c r="OKH33" s="38"/>
      <c r="OKI33" s="38"/>
      <c r="OKJ33" s="38"/>
      <c r="OKK33" s="38"/>
      <c r="OKL33" s="38"/>
      <c r="OKM33" s="38"/>
      <c r="OKN33" s="38"/>
      <c r="OKO33" s="38"/>
      <c r="OKP33" s="38"/>
      <c r="OKQ33" s="38"/>
      <c r="OKR33" s="38"/>
      <c r="OKS33" s="38"/>
      <c r="OKT33" s="38"/>
      <c r="OKU33" s="38"/>
      <c r="OKV33" s="38"/>
      <c r="OKW33" s="38"/>
      <c r="OKX33" s="38"/>
      <c r="OKY33" s="38"/>
      <c r="OKZ33" s="38"/>
      <c r="OLA33" s="38"/>
      <c r="OLB33" s="38"/>
      <c r="OLC33" s="38"/>
      <c r="OLD33" s="38"/>
      <c r="OLE33" s="38"/>
      <c r="OLF33" s="38"/>
      <c r="OLG33" s="38"/>
      <c r="OLH33" s="38"/>
      <c r="OLI33" s="38"/>
      <c r="OLJ33" s="38"/>
      <c r="OLK33" s="38"/>
      <c r="OLL33" s="38"/>
      <c r="OLM33" s="38"/>
      <c r="OLN33" s="38"/>
      <c r="OLO33" s="38"/>
      <c r="OLP33" s="38"/>
      <c r="OLQ33" s="38"/>
      <c r="OLR33" s="38"/>
      <c r="OLS33" s="38"/>
      <c r="OLT33" s="38"/>
      <c r="OLU33" s="38"/>
      <c r="OLV33" s="38"/>
      <c r="OLW33" s="38"/>
      <c r="OLX33" s="38"/>
      <c r="OLY33" s="38"/>
      <c r="OLZ33" s="38"/>
      <c r="OMA33" s="38"/>
      <c r="OMB33" s="38"/>
      <c r="OMC33" s="38"/>
      <c r="OMD33" s="38"/>
      <c r="OME33" s="38"/>
      <c r="OMF33" s="38"/>
      <c r="OMG33" s="38"/>
      <c r="OMH33" s="38"/>
      <c r="OMI33" s="38"/>
      <c r="OMJ33" s="38"/>
      <c r="OMK33" s="38"/>
      <c r="OML33" s="38"/>
      <c r="OMM33" s="38"/>
      <c r="OMN33" s="38"/>
      <c r="OMO33" s="38"/>
      <c r="OMP33" s="38"/>
      <c r="OMQ33" s="38"/>
      <c r="OMR33" s="38"/>
      <c r="OMS33" s="38"/>
      <c r="OMT33" s="38"/>
      <c r="OMU33" s="38"/>
      <c r="OMV33" s="38"/>
      <c r="OMW33" s="38"/>
      <c r="OMX33" s="38"/>
      <c r="OMY33" s="38"/>
      <c r="OMZ33" s="38"/>
      <c r="ONA33" s="38"/>
      <c r="ONB33" s="38"/>
      <c r="ONC33" s="38"/>
      <c r="OND33" s="38"/>
      <c r="ONE33" s="38"/>
      <c r="ONF33" s="38"/>
      <c r="ONG33" s="38"/>
      <c r="ONH33" s="38"/>
      <c r="ONI33" s="38"/>
      <c r="ONJ33" s="38"/>
      <c r="ONK33" s="38"/>
      <c r="ONL33" s="38"/>
      <c r="ONM33" s="38"/>
      <c r="ONN33" s="38"/>
      <c r="ONO33" s="38"/>
      <c r="ONP33" s="38"/>
      <c r="ONQ33" s="38"/>
      <c r="ONR33" s="38"/>
      <c r="ONS33" s="38"/>
      <c r="ONT33" s="38"/>
      <c r="ONU33" s="38"/>
      <c r="ONV33" s="38"/>
      <c r="ONW33" s="38"/>
      <c r="ONX33" s="38"/>
      <c r="ONY33" s="38"/>
      <c r="ONZ33" s="38"/>
      <c r="OOA33" s="38"/>
      <c r="OOB33" s="38"/>
      <c r="OOC33" s="38"/>
      <c r="OOD33" s="38"/>
      <c r="OOE33" s="38"/>
      <c r="OOF33" s="38"/>
      <c r="OOG33" s="38"/>
      <c r="OOH33" s="38"/>
      <c r="OOI33" s="38"/>
      <c r="OOJ33" s="38"/>
      <c r="OOK33" s="38"/>
      <c r="OOL33" s="38"/>
      <c r="OOM33" s="38"/>
      <c r="OON33" s="38"/>
      <c r="OOO33" s="38"/>
      <c r="OOP33" s="38"/>
      <c r="OOQ33" s="38"/>
      <c r="OOR33" s="38"/>
      <c r="OOS33" s="38"/>
      <c r="OOT33" s="38"/>
      <c r="OOU33" s="38"/>
      <c r="OOV33" s="38"/>
      <c r="OOW33" s="38"/>
      <c r="OOX33" s="38"/>
      <c r="OOY33" s="38"/>
      <c r="OOZ33" s="38"/>
      <c r="OPA33" s="38"/>
      <c r="OPB33" s="38"/>
      <c r="OPC33" s="38"/>
      <c r="OPD33" s="38"/>
      <c r="OPE33" s="38"/>
      <c r="OPF33" s="38"/>
      <c r="OPG33" s="38"/>
      <c r="OPH33" s="38"/>
      <c r="OPI33" s="38"/>
      <c r="OPJ33" s="38"/>
      <c r="OPK33" s="38"/>
      <c r="OPL33" s="38"/>
      <c r="OPM33" s="38"/>
      <c r="OPN33" s="38"/>
      <c r="OPO33" s="38"/>
      <c r="OPP33" s="38"/>
      <c r="OPQ33" s="38"/>
      <c r="OPR33" s="38"/>
      <c r="OPS33" s="38"/>
      <c r="OPT33" s="38"/>
      <c r="OPU33" s="38"/>
      <c r="OPV33" s="38"/>
      <c r="OPW33" s="38"/>
      <c r="OPX33" s="38"/>
      <c r="OPY33" s="38"/>
      <c r="OPZ33" s="38"/>
      <c r="OQA33" s="38"/>
      <c r="OQB33" s="38"/>
      <c r="OQC33" s="38"/>
      <c r="OQD33" s="38"/>
      <c r="OQE33" s="38"/>
      <c r="OQF33" s="38"/>
      <c r="OQG33" s="38"/>
      <c r="OQH33" s="38"/>
      <c r="OQI33" s="38"/>
      <c r="OQJ33" s="38"/>
      <c r="OQK33" s="38"/>
      <c r="OQL33" s="38"/>
      <c r="OQM33" s="38"/>
      <c r="OQN33" s="38"/>
      <c r="OQO33" s="38"/>
      <c r="OQP33" s="38"/>
      <c r="OQQ33" s="38"/>
      <c r="OQR33" s="38"/>
      <c r="OQS33" s="38"/>
      <c r="OQT33" s="38"/>
      <c r="OQU33" s="38"/>
      <c r="OQV33" s="38"/>
      <c r="OQW33" s="38"/>
      <c r="OQX33" s="38"/>
      <c r="OQY33" s="38"/>
      <c r="OQZ33" s="38"/>
      <c r="ORA33" s="38"/>
      <c r="ORB33" s="38"/>
      <c r="ORC33" s="38"/>
      <c r="ORD33" s="38"/>
      <c r="ORE33" s="38"/>
      <c r="ORF33" s="38"/>
      <c r="ORG33" s="38"/>
      <c r="ORH33" s="38"/>
      <c r="ORI33" s="38"/>
      <c r="ORJ33" s="38"/>
      <c r="ORK33" s="38"/>
      <c r="ORL33" s="38"/>
      <c r="ORM33" s="38"/>
      <c r="ORN33" s="38"/>
      <c r="ORO33" s="38"/>
      <c r="ORP33" s="38"/>
      <c r="ORQ33" s="38"/>
      <c r="ORR33" s="38"/>
      <c r="ORS33" s="38"/>
      <c r="ORT33" s="38"/>
      <c r="ORU33" s="38"/>
      <c r="ORV33" s="38"/>
      <c r="ORW33" s="38"/>
      <c r="ORX33" s="38"/>
      <c r="ORY33" s="38"/>
      <c r="ORZ33" s="38"/>
      <c r="OSA33" s="38"/>
      <c r="OSB33" s="38"/>
      <c r="OSC33" s="38"/>
      <c r="OSD33" s="38"/>
      <c r="OSE33" s="38"/>
      <c r="OSF33" s="38"/>
      <c r="OSG33" s="38"/>
      <c r="OSH33" s="38"/>
      <c r="OSI33" s="38"/>
      <c r="OSJ33" s="38"/>
      <c r="OSK33" s="38"/>
      <c r="OSL33" s="38"/>
      <c r="OSM33" s="38"/>
      <c r="OSN33" s="38"/>
      <c r="OSO33" s="38"/>
      <c r="OSP33" s="38"/>
      <c r="OSQ33" s="38"/>
      <c r="OSR33" s="38"/>
      <c r="OSS33" s="38"/>
      <c r="OST33" s="38"/>
      <c r="OSU33" s="38"/>
      <c r="OSV33" s="38"/>
      <c r="OSW33" s="38"/>
      <c r="OSX33" s="38"/>
      <c r="OSY33" s="38"/>
      <c r="OSZ33" s="38"/>
      <c r="OTA33" s="38"/>
      <c r="OTB33" s="38"/>
      <c r="OTC33" s="38"/>
      <c r="OTD33" s="38"/>
      <c r="OTE33" s="38"/>
      <c r="OTF33" s="38"/>
      <c r="OTG33" s="38"/>
      <c r="OTH33" s="38"/>
      <c r="OTI33" s="38"/>
      <c r="OTJ33" s="38"/>
      <c r="OTK33" s="38"/>
      <c r="OTL33" s="38"/>
      <c r="OTM33" s="38"/>
      <c r="OTN33" s="38"/>
      <c r="OTO33" s="38"/>
      <c r="OTP33" s="38"/>
      <c r="OTQ33" s="38"/>
      <c r="OTR33" s="38"/>
      <c r="OTS33" s="38"/>
      <c r="OTT33" s="38"/>
      <c r="OTU33" s="38"/>
      <c r="OTV33" s="38"/>
      <c r="OTW33" s="38"/>
      <c r="OTX33" s="38"/>
      <c r="OTY33" s="38"/>
      <c r="OTZ33" s="38"/>
      <c r="OUA33" s="38"/>
      <c r="OUB33" s="38"/>
      <c r="OUC33" s="38"/>
      <c r="OUD33" s="38"/>
      <c r="OUE33" s="38"/>
      <c r="OUF33" s="38"/>
      <c r="OUG33" s="38"/>
      <c r="OUH33" s="38"/>
      <c r="OUI33" s="38"/>
      <c r="OUJ33" s="38"/>
      <c r="OUK33" s="38"/>
      <c r="OUL33" s="38"/>
      <c r="OUM33" s="38"/>
      <c r="OUN33" s="38"/>
      <c r="OUO33" s="38"/>
      <c r="OUP33" s="38"/>
      <c r="OUQ33" s="38"/>
      <c r="OUR33" s="38"/>
      <c r="OUS33" s="38"/>
      <c r="OUT33" s="38"/>
      <c r="OUU33" s="38"/>
      <c r="OUV33" s="38"/>
      <c r="OUW33" s="38"/>
      <c r="OUX33" s="38"/>
      <c r="OUY33" s="38"/>
      <c r="OUZ33" s="38"/>
      <c r="OVA33" s="38"/>
      <c r="OVB33" s="38"/>
      <c r="OVC33" s="38"/>
      <c r="OVD33" s="38"/>
      <c r="OVE33" s="38"/>
      <c r="OVF33" s="38"/>
      <c r="OVG33" s="38"/>
      <c r="OVH33" s="38"/>
      <c r="OVI33" s="38"/>
      <c r="OVJ33" s="38"/>
      <c r="OVK33" s="38"/>
      <c r="OVL33" s="38"/>
      <c r="OVM33" s="38"/>
      <c r="OVN33" s="38"/>
      <c r="OVO33" s="38"/>
      <c r="OVP33" s="38"/>
      <c r="OVQ33" s="38"/>
      <c r="OVR33" s="38"/>
      <c r="OVS33" s="38"/>
      <c r="OVT33" s="38"/>
      <c r="OVU33" s="38"/>
      <c r="OVV33" s="38"/>
      <c r="OVW33" s="38"/>
      <c r="OVX33" s="38"/>
      <c r="OVY33" s="38"/>
      <c r="OVZ33" s="38"/>
      <c r="OWA33" s="38"/>
      <c r="OWB33" s="38"/>
      <c r="OWC33" s="38"/>
      <c r="OWD33" s="38"/>
      <c r="OWE33" s="38"/>
      <c r="OWF33" s="38"/>
      <c r="OWG33" s="38"/>
      <c r="OWH33" s="38"/>
      <c r="OWI33" s="38"/>
      <c r="OWJ33" s="38"/>
      <c r="OWK33" s="38"/>
      <c r="OWL33" s="38"/>
      <c r="OWM33" s="38"/>
      <c r="OWN33" s="38"/>
      <c r="OWO33" s="38"/>
      <c r="OWP33" s="38"/>
      <c r="OWQ33" s="38"/>
      <c r="OWR33" s="38"/>
      <c r="OWS33" s="38"/>
      <c r="OWT33" s="38"/>
      <c r="OWU33" s="38"/>
      <c r="OWV33" s="38"/>
      <c r="OWW33" s="38"/>
      <c r="OWX33" s="38"/>
      <c r="OWY33" s="38"/>
      <c r="OWZ33" s="38"/>
      <c r="OXA33" s="38"/>
      <c r="OXB33" s="38"/>
      <c r="OXC33" s="38"/>
      <c r="OXD33" s="38"/>
      <c r="OXE33" s="38"/>
      <c r="OXF33" s="38"/>
      <c r="OXG33" s="38"/>
      <c r="OXH33" s="38"/>
      <c r="OXI33" s="38"/>
      <c r="OXJ33" s="38"/>
      <c r="OXK33" s="38"/>
      <c r="OXL33" s="38"/>
      <c r="OXM33" s="38"/>
      <c r="OXN33" s="38"/>
      <c r="OXO33" s="38"/>
      <c r="OXP33" s="38"/>
      <c r="OXQ33" s="38"/>
      <c r="OXR33" s="38"/>
      <c r="OXS33" s="38"/>
      <c r="OXT33" s="38"/>
      <c r="OXU33" s="38"/>
      <c r="OXV33" s="38"/>
      <c r="OXW33" s="38"/>
      <c r="OXX33" s="38"/>
      <c r="OXY33" s="38"/>
      <c r="OXZ33" s="38"/>
      <c r="OYA33" s="38"/>
      <c r="OYB33" s="38"/>
      <c r="OYC33" s="38"/>
      <c r="OYD33" s="38"/>
      <c r="OYE33" s="38"/>
      <c r="OYF33" s="38"/>
      <c r="OYG33" s="38"/>
      <c r="OYH33" s="38"/>
      <c r="OYI33" s="38"/>
      <c r="OYJ33" s="38"/>
      <c r="OYK33" s="38"/>
      <c r="OYL33" s="38"/>
      <c r="OYM33" s="38"/>
      <c r="OYN33" s="38"/>
      <c r="OYO33" s="38"/>
      <c r="OYP33" s="38"/>
      <c r="OYQ33" s="38"/>
      <c r="OYR33" s="38"/>
      <c r="OYS33" s="38"/>
      <c r="OYT33" s="38"/>
      <c r="OYU33" s="38"/>
      <c r="OYV33" s="38"/>
      <c r="OYW33" s="38"/>
      <c r="OYX33" s="38"/>
      <c r="OYY33" s="38"/>
      <c r="OYZ33" s="38"/>
      <c r="OZA33" s="38"/>
      <c r="OZB33" s="38"/>
      <c r="OZC33" s="38"/>
      <c r="OZD33" s="38"/>
      <c r="OZE33" s="38"/>
      <c r="OZF33" s="38"/>
      <c r="OZG33" s="38"/>
      <c r="OZH33" s="38"/>
      <c r="OZI33" s="38"/>
      <c r="OZJ33" s="38"/>
      <c r="OZK33" s="38"/>
      <c r="OZL33" s="38"/>
      <c r="OZM33" s="38"/>
      <c r="OZN33" s="38"/>
      <c r="OZO33" s="38"/>
      <c r="OZP33" s="38"/>
      <c r="OZQ33" s="38"/>
      <c r="OZR33" s="38"/>
      <c r="OZS33" s="38"/>
      <c r="OZT33" s="38"/>
      <c r="OZU33" s="38"/>
      <c r="OZV33" s="38"/>
      <c r="OZW33" s="38"/>
      <c r="OZX33" s="38"/>
      <c r="OZY33" s="38"/>
      <c r="OZZ33" s="38"/>
      <c r="PAA33" s="38"/>
      <c r="PAB33" s="38"/>
      <c r="PAC33" s="38"/>
      <c r="PAD33" s="38"/>
      <c r="PAE33" s="38"/>
      <c r="PAF33" s="38"/>
      <c r="PAG33" s="38"/>
      <c r="PAH33" s="38"/>
      <c r="PAI33" s="38"/>
      <c r="PAJ33" s="38"/>
      <c r="PAK33" s="38"/>
      <c r="PAL33" s="38"/>
      <c r="PAM33" s="38"/>
      <c r="PAN33" s="38"/>
      <c r="PAO33" s="38"/>
      <c r="PAP33" s="38"/>
      <c r="PAQ33" s="38"/>
      <c r="PAR33" s="38"/>
      <c r="PAS33" s="38"/>
      <c r="PAT33" s="38"/>
      <c r="PAU33" s="38"/>
      <c r="PAV33" s="38"/>
      <c r="PAW33" s="38"/>
      <c r="PAX33" s="38"/>
      <c r="PAY33" s="38"/>
      <c r="PAZ33" s="38"/>
      <c r="PBA33" s="38"/>
      <c r="PBB33" s="38"/>
      <c r="PBC33" s="38"/>
      <c r="PBD33" s="38"/>
      <c r="PBE33" s="38"/>
      <c r="PBF33" s="38"/>
      <c r="PBG33" s="38"/>
      <c r="PBH33" s="38"/>
      <c r="PBI33" s="38"/>
      <c r="PBJ33" s="38"/>
      <c r="PBK33" s="38"/>
      <c r="PBL33" s="38"/>
      <c r="PBM33" s="38"/>
      <c r="PBN33" s="38"/>
      <c r="PBO33" s="38"/>
      <c r="PBP33" s="38"/>
      <c r="PBQ33" s="38"/>
      <c r="PBR33" s="38"/>
      <c r="PBS33" s="38"/>
      <c r="PBT33" s="38"/>
      <c r="PBU33" s="38"/>
      <c r="PBV33" s="38"/>
      <c r="PBW33" s="38"/>
      <c r="PBX33" s="38"/>
      <c r="PBY33" s="38"/>
      <c r="PBZ33" s="38"/>
      <c r="PCA33" s="38"/>
      <c r="PCB33" s="38"/>
      <c r="PCC33" s="38"/>
      <c r="PCD33" s="38"/>
      <c r="PCE33" s="38"/>
      <c r="PCF33" s="38"/>
      <c r="PCG33" s="38"/>
      <c r="PCH33" s="38"/>
      <c r="PCI33" s="38"/>
      <c r="PCJ33" s="38"/>
      <c r="PCK33" s="38"/>
      <c r="PCL33" s="38"/>
      <c r="PCM33" s="38"/>
      <c r="PCN33" s="38"/>
      <c r="PCO33" s="38"/>
      <c r="PCP33" s="38"/>
      <c r="PCQ33" s="38"/>
      <c r="PCR33" s="38"/>
      <c r="PCS33" s="38"/>
      <c r="PCT33" s="38"/>
      <c r="PCU33" s="38"/>
      <c r="PCV33" s="38"/>
      <c r="PCW33" s="38"/>
      <c r="PCX33" s="38"/>
      <c r="PCY33" s="38"/>
      <c r="PCZ33" s="38"/>
      <c r="PDA33" s="38"/>
      <c r="PDB33" s="38"/>
      <c r="PDC33" s="38"/>
      <c r="PDD33" s="38"/>
      <c r="PDE33" s="38"/>
      <c r="PDF33" s="38"/>
      <c r="PDG33" s="38"/>
      <c r="PDH33" s="38"/>
      <c r="PDI33" s="38"/>
      <c r="PDJ33" s="38"/>
      <c r="PDK33" s="38"/>
      <c r="PDL33" s="38"/>
      <c r="PDM33" s="38"/>
      <c r="PDN33" s="38"/>
      <c r="PDO33" s="38"/>
      <c r="PDP33" s="38"/>
      <c r="PDQ33" s="38"/>
      <c r="PDR33" s="38"/>
      <c r="PDS33" s="38"/>
      <c r="PDT33" s="38"/>
      <c r="PDU33" s="38"/>
      <c r="PDV33" s="38"/>
      <c r="PDW33" s="38"/>
      <c r="PDX33" s="38"/>
      <c r="PDY33" s="38"/>
      <c r="PDZ33" s="38"/>
      <c r="PEA33" s="38"/>
      <c r="PEB33" s="38"/>
      <c r="PEC33" s="38"/>
      <c r="PED33" s="38"/>
      <c r="PEE33" s="38"/>
      <c r="PEF33" s="38"/>
      <c r="PEG33" s="38"/>
      <c r="PEH33" s="38"/>
      <c r="PEI33" s="38"/>
      <c r="PEJ33" s="38"/>
      <c r="PEK33" s="38"/>
      <c r="PEL33" s="38"/>
      <c r="PEM33" s="38"/>
      <c r="PEN33" s="38"/>
      <c r="PEO33" s="38"/>
      <c r="PEP33" s="38"/>
      <c r="PEQ33" s="38"/>
      <c r="PER33" s="38"/>
      <c r="PES33" s="38"/>
      <c r="PET33" s="38"/>
      <c r="PEU33" s="38"/>
      <c r="PEV33" s="38"/>
      <c r="PEW33" s="38"/>
      <c r="PEX33" s="38"/>
      <c r="PEY33" s="38"/>
      <c r="PEZ33" s="38"/>
      <c r="PFA33" s="38"/>
      <c r="PFB33" s="38"/>
      <c r="PFC33" s="38"/>
      <c r="PFD33" s="38"/>
      <c r="PFE33" s="38"/>
      <c r="PFF33" s="38"/>
      <c r="PFG33" s="38"/>
      <c r="PFH33" s="38"/>
      <c r="PFI33" s="38"/>
      <c r="PFJ33" s="38"/>
      <c r="PFK33" s="38"/>
      <c r="PFL33" s="38"/>
      <c r="PFM33" s="38"/>
      <c r="PFN33" s="38"/>
      <c r="PFO33" s="38"/>
      <c r="PFP33" s="38"/>
      <c r="PFQ33" s="38"/>
      <c r="PFR33" s="38"/>
      <c r="PFS33" s="38"/>
      <c r="PFT33" s="38"/>
      <c r="PFU33" s="38"/>
      <c r="PFV33" s="38"/>
      <c r="PFW33" s="38"/>
      <c r="PFX33" s="38"/>
      <c r="PFY33" s="38"/>
      <c r="PFZ33" s="38"/>
      <c r="PGA33" s="38"/>
      <c r="PGB33" s="38"/>
      <c r="PGC33" s="38"/>
      <c r="PGD33" s="38"/>
      <c r="PGE33" s="38"/>
      <c r="PGF33" s="38"/>
      <c r="PGG33" s="38"/>
      <c r="PGH33" s="38"/>
      <c r="PGI33" s="38"/>
      <c r="PGJ33" s="38"/>
      <c r="PGK33" s="38"/>
      <c r="PGL33" s="38"/>
      <c r="PGM33" s="38"/>
      <c r="PGN33" s="38"/>
      <c r="PGO33" s="38"/>
      <c r="PGP33" s="38"/>
      <c r="PGQ33" s="38"/>
      <c r="PGR33" s="38"/>
      <c r="PGS33" s="38"/>
      <c r="PGT33" s="38"/>
      <c r="PGU33" s="38"/>
      <c r="PGV33" s="38"/>
      <c r="PGW33" s="38"/>
      <c r="PGX33" s="38"/>
      <c r="PGY33" s="38"/>
      <c r="PGZ33" s="38"/>
      <c r="PHA33" s="38"/>
      <c r="PHB33" s="38"/>
      <c r="PHC33" s="38"/>
      <c r="PHD33" s="38"/>
      <c r="PHE33" s="38"/>
      <c r="PHF33" s="38"/>
      <c r="PHG33" s="38"/>
      <c r="PHH33" s="38"/>
      <c r="PHI33" s="38"/>
      <c r="PHJ33" s="38"/>
      <c r="PHK33" s="38"/>
      <c r="PHL33" s="38"/>
      <c r="PHM33" s="38"/>
      <c r="PHN33" s="38"/>
      <c r="PHO33" s="38"/>
      <c r="PHP33" s="38"/>
      <c r="PHQ33" s="38"/>
      <c r="PHR33" s="38"/>
      <c r="PHS33" s="38"/>
      <c r="PHT33" s="38"/>
      <c r="PHU33" s="38"/>
      <c r="PHV33" s="38"/>
      <c r="PHW33" s="38"/>
      <c r="PHX33" s="38"/>
      <c r="PHY33" s="38"/>
      <c r="PHZ33" s="38"/>
      <c r="PIA33" s="38"/>
      <c r="PIB33" s="38"/>
      <c r="PIC33" s="38"/>
      <c r="PID33" s="38"/>
      <c r="PIE33" s="38"/>
      <c r="PIF33" s="38"/>
      <c r="PIG33" s="38"/>
      <c r="PIH33" s="38"/>
      <c r="PII33" s="38"/>
      <c r="PIJ33" s="38"/>
      <c r="PIK33" s="38"/>
      <c r="PIL33" s="38"/>
      <c r="PIM33" s="38"/>
      <c r="PIN33" s="38"/>
      <c r="PIO33" s="38"/>
      <c r="PIP33" s="38"/>
      <c r="PIQ33" s="38"/>
      <c r="PIR33" s="38"/>
      <c r="PIS33" s="38"/>
      <c r="PIT33" s="38"/>
      <c r="PIU33" s="38"/>
      <c r="PIV33" s="38"/>
      <c r="PIW33" s="38"/>
      <c r="PIX33" s="38"/>
      <c r="PIY33" s="38"/>
      <c r="PIZ33" s="38"/>
      <c r="PJA33" s="38"/>
      <c r="PJB33" s="38"/>
      <c r="PJC33" s="38"/>
      <c r="PJD33" s="38"/>
      <c r="PJE33" s="38"/>
      <c r="PJF33" s="38"/>
      <c r="PJG33" s="38"/>
      <c r="PJH33" s="38"/>
      <c r="PJI33" s="38"/>
      <c r="PJJ33" s="38"/>
      <c r="PJK33" s="38"/>
      <c r="PJL33" s="38"/>
      <c r="PJM33" s="38"/>
      <c r="PJN33" s="38"/>
      <c r="PJO33" s="38"/>
      <c r="PJP33" s="38"/>
      <c r="PJQ33" s="38"/>
      <c r="PJR33" s="38"/>
      <c r="PJS33" s="38"/>
      <c r="PJT33" s="38"/>
      <c r="PJU33" s="38"/>
      <c r="PJV33" s="38"/>
      <c r="PJW33" s="38"/>
      <c r="PJX33" s="38"/>
      <c r="PJY33" s="38"/>
      <c r="PJZ33" s="38"/>
      <c r="PKA33" s="38"/>
      <c r="PKB33" s="38"/>
      <c r="PKC33" s="38"/>
      <c r="PKD33" s="38"/>
      <c r="PKE33" s="38"/>
      <c r="PKF33" s="38"/>
      <c r="PKG33" s="38"/>
      <c r="PKH33" s="38"/>
      <c r="PKI33" s="38"/>
      <c r="PKJ33" s="38"/>
      <c r="PKK33" s="38"/>
      <c r="PKL33" s="38"/>
      <c r="PKM33" s="38"/>
      <c r="PKN33" s="38"/>
      <c r="PKO33" s="38"/>
      <c r="PKP33" s="38"/>
      <c r="PKQ33" s="38"/>
      <c r="PKR33" s="38"/>
      <c r="PKS33" s="38"/>
      <c r="PKT33" s="38"/>
      <c r="PKU33" s="38"/>
      <c r="PKV33" s="38"/>
      <c r="PKW33" s="38"/>
      <c r="PKX33" s="38"/>
      <c r="PKY33" s="38"/>
      <c r="PKZ33" s="38"/>
      <c r="PLA33" s="38"/>
      <c r="PLB33" s="38"/>
      <c r="PLC33" s="38"/>
      <c r="PLD33" s="38"/>
      <c r="PLE33" s="38"/>
      <c r="PLF33" s="38"/>
      <c r="PLG33" s="38"/>
      <c r="PLH33" s="38"/>
      <c r="PLI33" s="38"/>
      <c r="PLJ33" s="38"/>
      <c r="PLK33" s="38"/>
      <c r="PLL33" s="38"/>
      <c r="PLM33" s="38"/>
      <c r="PLN33" s="38"/>
      <c r="PLO33" s="38"/>
      <c r="PLP33" s="38"/>
      <c r="PLQ33" s="38"/>
      <c r="PLR33" s="38"/>
      <c r="PLS33" s="38"/>
      <c r="PLT33" s="38"/>
      <c r="PLU33" s="38"/>
      <c r="PLV33" s="38"/>
      <c r="PLW33" s="38"/>
      <c r="PLX33" s="38"/>
      <c r="PLY33" s="38"/>
      <c r="PLZ33" s="38"/>
      <c r="PMA33" s="38"/>
      <c r="PMB33" s="38"/>
      <c r="PMC33" s="38"/>
      <c r="PMD33" s="38"/>
      <c r="PME33" s="38"/>
      <c r="PMF33" s="38"/>
      <c r="PMG33" s="38"/>
      <c r="PMH33" s="38"/>
      <c r="PMI33" s="38"/>
      <c r="PMJ33" s="38"/>
      <c r="PMK33" s="38"/>
      <c r="PML33" s="38"/>
      <c r="PMM33" s="38"/>
      <c r="PMN33" s="38"/>
      <c r="PMO33" s="38"/>
      <c r="PMP33" s="38"/>
      <c r="PMQ33" s="38"/>
      <c r="PMR33" s="38"/>
      <c r="PMS33" s="38"/>
      <c r="PMT33" s="38"/>
      <c r="PMU33" s="38"/>
      <c r="PMV33" s="38"/>
      <c r="PMW33" s="38"/>
      <c r="PMX33" s="38"/>
      <c r="PMY33" s="38"/>
      <c r="PMZ33" s="38"/>
      <c r="PNA33" s="38"/>
      <c r="PNB33" s="38"/>
      <c r="PNC33" s="38"/>
      <c r="PND33" s="38"/>
      <c r="PNE33" s="38"/>
      <c r="PNF33" s="38"/>
      <c r="PNG33" s="38"/>
      <c r="PNH33" s="38"/>
      <c r="PNI33" s="38"/>
      <c r="PNJ33" s="38"/>
      <c r="PNK33" s="38"/>
      <c r="PNL33" s="38"/>
      <c r="PNM33" s="38"/>
      <c r="PNN33" s="38"/>
      <c r="PNO33" s="38"/>
      <c r="PNP33" s="38"/>
      <c r="PNQ33" s="38"/>
      <c r="PNR33" s="38"/>
      <c r="PNS33" s="38"/>
      <c r="PNT33" s="38"/>
      <c r="PNU33" s="38"/>
      <c r="PNV33" s="38"/>
      <c r="PNW33" s="38"/>
      <c r="PNX33" s="38"/>
      <c r="PNY33" s="38"/>
      <c r="PNZ33" s="38"/>
      <c r="POA33" s="38"/>
      <c r="POB33" s="38"/>
      <c r="POC33" s="38"/>
      <c r="POD33" s="38"/>
      <c r="POE33" s="38"/>
      <c r="POF33" s="38"/>
      <c r="POG33" s="38"/>
      <c r="POH33" s="38"/>
      <c r="POI33" s="38"/>
      <c r="POJ33" s="38"/>
      <c r="POK33" s="38"/>
      <c r="POL33" s="38"/>
      <c r="POM33" s="38"/>
      <c r="PON33" s="38"/>
      <c r="POO33" s="38"/>
      <c r="POP33" s="38"/>
      <c r="POQ33" s="38"/>
      <c r="POR33" s="38"/>
      <c r="POS33" s="38"/>
      <c r="POT33" s="38"/>
      <c r="POU33" s="38"/>
      <c r="POV33" s="38"/>
      <c r="POW33" s="38"/>
      <c r="POX33" s="38"/>
      <c r="POY33" s="38"/>
      <c r="POZ33" s="38"/>
      <c r="PPA33" s="38"/>
      <c r="PPB33" s="38"/>
      <c r="PPC33" s="38"/>
      <c r="PPD33" s="38"/>
      <c r="PPE33" s="38"/>
      <c r="PPF33" s="38"/>
      <c r="PPG33" s="38"/>
      <c r="PPH33" s="38"/>
      <c r="PPI33" s="38"/>
      <c r="PPJ33" s="38"/>
      <c r="PPK33" s="38"/>
      <c r="PPL33" s="38"/>
      <c r="PPM33" s="38"/>
      <c r="PPN33" s="38"/>
      <c r="PPO33" s="38"/>
      <c r="PPP33" s="38"/>
      <c r="PPQ33" s="38"/>
      <c r="PPR33" s="38"/>
      <c r="PPS33" s="38"/>
      <c r="PPT33" s="38"/>
      <c r="PPU33" s="38"/>
      <c r="PPV33" s="38"/>
      <c r="PPW33" s="38"/>
      <c r="PPX33" s="38"/>
      <c r="PPY33" s="38"/>
      <c r="PPZ33" s="38"/>
      <c r="PQA33" s="38"/>
      <c r="PQB33" s="38"/>
      <c r="PQC33" s="38"/>
      <c r="PQD33" s="38"/>
      <c r="PQE33" s="38"/>
      <c r="PQF33" s="38"/>
      <c r="PQG33" s="38"/>
      <c r="PQH33" s="38"/>
      <c r="PQI33" s="38"/>
      <c r="PQJ33" s="38"/>
      <c r="PQK33" s="38"/>
      <c r="PQL33" s="38"/>
      <c r="PQM33" s="38"/>
      <c r="PQN33" s="38"/>
      <c r="PQO33" s="38"/>
      <c r="PQP33" s="38"/>
      <c r="PQQ33" s="38"/>
      <c r="PQR33" s="38"/>
      <c r="PQS33" s="38"/>
      <c r="PQT33" s="38"/>
      <c r="PQU33" s="38"/>
      <c r="PQV33" s="38"/>
      <c r="PQW33" s="38"/>
      <c r="PQX33" s="38"/>
      <c r="PQY33" s="38"/>
      <c r="PQZ33" s="38"/>
      <c r="PRA33" s="38"/>
      <c r="PRB33" s="38"/>
      <c r="PRC33" s="38"/>
      <c r="PRD33" s="38"/>
      <c r="PRE33" s="38"/>
      <c r="PRF33" s="38"/>
      <c r="PRG33" s="38"/>
      <c r="PRH33" s="38"/>
      <c r="PRI33" s="38"/>
      <c r="PRJ33" s="38"/>
      <c r="PRK33" s="38"/>
      <c r="PRL33" s="38"/>
      <c r="PRM33" s="38"/>
      <c r="PRN33" s="38"/>
      <c r="PRO33" s="38"/>
      <c r="PRP33" s="38"/>
      <c r="PRQ33" s="38"/>
      <c r="PRR33" s="38"/>
      <c r="PRS33" s="38"/>
      <c r="PRT33" s="38"/>
      <c r="PRU33" s="38"/>
      <c r="PRV33" s="38"/>
      <c r="PRW33" s="38"/>
      <c r="PRX33" s="38"/>
      <c r="PRY33" s="38"/>
      <c r="PRZ33" s="38"/>
      <c r="PSA33" s="38"/>
      <c r="PSB33" s="38"/>
      <c r="PSC33" s="38"/>
      <c r="PSD33" s="38"/>
      <c r="PSE33" s="38"/>
      <c r="PSF33" s="38"/>
      <c r="PSG33" s="38"/>
      <c r="PSH33" s="38"/>
      <c r="PSI33" s="38"/>
      <c r="PSJ33" s="38"/>
      <c r="PSK33" s="38"/>
      <c r="PSL33" s="38"/>
      <c r="PSM33" s="38"/>
      <c r="PSN33" s="38"/>
      <c r="PSO33" s="38"/>
      <c r="PSP33" s="38"/>
      <c r="PSQ33" s="38"/>
      <c r="PSR33" s="38"/>
      <c r="PSS33" s="38"/>
      <c r="PST33" s="38"/>
      <c r="PSU33" s="38"/>
      <c r="PSV33" s="38"/>
      <c r="PSW33" s="38"/>
      <c r="PSX33" s="38"/>
      <c r="PSY33" s="38"/>
      <c r="PSZ33" s="38"/>
      <c r="PTA33" s="38"/>
      <c r="PTB33" s="38"/>
      <c r="PTC33" s="38"/>
      <c r="PTD33" s="38"/>
      <c r="PTE33" s="38"/>
      <c r="PTF33" s="38"/>
      <c r="PTG33" s="38"/>
      <c r="PTH33" s="38"/>
      <c r="PTI33" s="38"/>
      <c r="PTJ33" s="38"/>
      <c r="PTK33" s="38"/>
      <c r="PTL33" s="38"/>
      <c r="PTM33" s="38"/>
      <c r="PTN33" s="38"/>
      <c r="PTO33" s="38"/>
      <c r="PTP33" s="38"/>
      <c r="PTQ33" s="38"/>
      <c r="PTR33" s="38"/>
      <c r="PTS33" s="38"/>
      <c r="PTT33" s="38"/>
      <c r="PTU33" s="38"/>
      <c r="PTV33" s="38"/>
      <c r="PTW33" s="38"/>
      <c r="PTX33" s="38"/>
      <c r="PTY33" s="38"/>
      <c r="PTZ33" s="38"/>
      <c r="PUA33" s="38"/>
      <c r="PUB33" s="38"/>
      <c r="PUC33" s="38"/>
      <c r="PUD33" s="38"/>
      <c r="PUE33" s="38"/>
      <c r="PUF33" s="38"/>
      <c r="PUG33" s="38"/>
      <c r="PUH33" s="38"/>
      <c r="PUI33" s="38"/>
      <c r="PUJ33" s="38"/>
      <c r="PUK33" s="38"/>
      <c r="PUL33" s="38"/>
      <c r="PUM33" s="38"/>
      <c r="PUN33" s="38"/>
      <c r="PUO33" s="38"/>
      <c r="PUP33" s="38"/>
      <c r="PUQ33" s="38"/>
      <c r="PUR33" s="38"/>
      <c r="PUS33" s="38"/>
      <c r="PUT33" s="38"/>
      <c r="PUU33" s="38"/>
      <c r="PUV33" s="38"/>
      <c r="PUW33" s="38"/>
      <c r="PUX33" s="38"/>
      <c r="PUY33" s="38"/>
      <c r="PUZ33" s="38"/>
      <c r="PVA33" s="38"/>
      <c r="PVB33" s="38"/>
      <c r="PVC33" s="38"/>
      <c r="PVD33" s="38"/>
      <c r="PVE33" s="38"/>
      <c r="PVF33" s="38"/>
      <c r="PVG33" s="38"/>
      <c r="PVH33" s="38"/>
      <c r="PVI33" s="38"/>
      <c r="PVJ33" s="38"/>
      <c r="PVK33" s="38"/>
      <c r="PVL33" s="38"/>
      <c r="PVM33" s="38"/>
      <c r="PVN33" s="38"/>
      <c r="PVO33" s="38"/>
      <c r="PVP33" s="38"/>
      <c r="PVQ33" s="38"/>
      <c r="PVR33" s="38"/>
      <c r="PVS33" s="38"/>
      <c r="PVT33" s="38"/>
      <c r="PVU33" s="38"/>
      <c r="PVV33" s="38"/>
      <c r="PVW33" s="38"/>
      <c r="PVX33" s="38"/>
      <c r="PVY33" s="38"/>
      <c r="PVZ33" s="38"/>
      <c r="PWA33" s="38"/>
      <c r="PWB33" s="38"/>
      <c r="PWC33" s="38"/>
      <c r="PWD33" s="38"/>
      <c r="PWE33" s="38"/>
      <c r="PWF33" s="38"/>
      <c r="PWG33" s="38"/>
      <c r="PWH33" s="38"/>
      <c r="PWI33" s="38"/>
      <c r="PWJ33" s="38"/>
      <c r="PWK33" s="38"/>
      <c r="PWL33" s="38"/>
      <c r="PWM33" s="38"/>
      <c r="PWN33" s="38"/>
      <c r="PWO33" s="38"/>
      <c r="PWP33" s="38"/>
      <c r="PWQ33" s="38"/>
      <c r="PWR33" s="38"/>
      <c r="PWS33" s="38"/>
      <c r="PWT33" s="38"/>
      <c r="PWU33" s="38"/>
      <c r="PWV33" s="38"/>
      <c r="PWW33" s="38"/>
      <c r="PWX33" s="38"/>
      <c r="PWY33" s="38"/>
      <c r="PWZ33" s="38"/>
      <c r="PXA33" s="38"/>
      <c r="PXB33" s="38"/>
      <c r="PXC33" s="38"/>
      <c r="PXD33" s="38"/>
      <c r="PXE33" s="38"/>
      <c r="PXF33" s="38"/>
      <c r="PXG33" s="38"/>
      <c r="PXH33" s="38"/>
      <c r="PXI33" s="38"/>
      <c r="PXJ33" s="38"/>
      <c r="PXK33" s="38"/>
      <c r="PXL33" s="38"/>
      <c r="PXM33" s="38"/>
      <c r="PXN33" s="38"/>
      <c r="PXO33" s="38"/>
      <c r="PXP33" s="38"/>
      <c r="PXQ33" s="38"/>
      <c r="PXR33" s="38"/>
      <c r="PXS33" s="38"/>
      <c r="PXT33" s="38"/>
      <c r="PXU33" s="38"/>
      <c r="PXV33" s="38"/>
      <c r="PXW33" s="38"/>
      <c r="PXX33" s="38"/>
      <c r="PXY33" s="38"/>
      <c r="PXZ33" s="38"/>
      <c r="PYA33" s="38"/>
      <c r="PYB33" s="38"/>
      <c r="PYC33" s="38"/>
      <c r="PYD33" s="38"/>
      <c r="PYE33" s="38"/>
      <c r="PYF33" s="38"/>
      <c r="PYG33" s="38"/>
      <c r="PYH33" s="38"/>
      <c r="PYI33" s="38"/>
      <c r="PYJ33" s="38"/>
      <c r="PYK33" s="38"/>
      <c r="PYL33" s="38"/>
      <c r="PYM33" s="38"/>
      <c r="PYN33" s="38"/>
      <c r="PYO33" s="38"/>
      <c r="PYP33" s="38"/>
      <c r="PYQ33" s="38"/>
      <c r="PYR33" s="38"/>
      <c r="PYS33" s="38"/>
      <c r="PYT33" s="38"/>
      <c r="PYU33" s="38"/>
      <c r="PYV33" s="38"/>
      <c r="PYW33" s="38"/>
      <c r="PYX33" s="38"/>
      <c r="PYY33" s="38"/>
      <c r="PYZ33" s="38"/>
      <c r="PZA33" s="38"/>
      <c r="PZB33" s="38"/>
      <c r="PZC33" s="38"/>
      <c r="PZD33" s="38"/>
      <c r="PZE33" s="38"/>
      <c r="PZF33" s="38"/>
      <c r="PZG33" s="38"/>
      <c r="PZH33" s="38"/>
      <c r="PZI33" s="38"/>
      <c r="PZJ33" s="38"/>
      <c r="PZK33" s="38"/>
      <c r="PZL33" s="38"/>
      <c r="PZM33" s="38"/>
      <c r="PZN33" s="38"/>
      <c r="PZO33" s="38"/>
      <c r="PZP33" s="38"/>
      <c r="PZQ33" s="38"/>
      <c r="PZR33" s="38"/>
      <c r="PZS33" s="38"/>
      <c r="PZT33" s="38"/>
      <c r="PZU33" s="38"/>
      <c r="PZV33" s="38"/>
      <c r="PZW33" s="38"/>
      <c r="PZX33" s="38"/>
      <c r="PZY33" s="38"/>
      <c r="PZZ33" s="38"/>
      <c r="QAA33" s="38"/>
      <c r="QAB33" s="38"/>
      <c r="QAC33" s="38"/>
      <c r="QAD33" s="38"/>
      <c r="QAE33" s="38"/>
      <c r="QAF33" s="38"/>
      <c r="QAG33" s="38"/>
      <c r="QAH33" s="38"/>
      <c r="QAI33" s="38"/>
      <c r="QAJ33" s="38"/>
      <c r="QAK33" s="38"/>
      <c r="QAL33" s="38"/>
      <c r="QAM33" s="38"/>
      <c r="QAN33" s="38"/>
      <c r="QAO33" s="38"/>
      <c r="QAP33" s="38"/>
      <c r="QAQ33" s="38"/>
      <c r="QAR33" s="38"/>
      <c r="QAS33" s="38"/>
      <c r="QAT33" s="38"/>
      <c r="QAU33" s="38"/>
      <c r="QAV33" s="38"/>
      <c r="QAW33" s="38"/>
      <c r="QAX33" s="38"/>
      <c r="QAY33" s="38"/>
      <c r="QAZ33" s="38"/>
      <c r="QBA33" s="38"/>
      <c r="QBB33" s="38"/>
      <c r="QBC33" s="38"/>
      <c r="QBD33" s="38"/>
      <c r="QBE33" s="38"/>
      <c r="QBF33" s="38"/>
      <c r="QBG33" s="38"/>
      <c r="QBH33" s="38"/>
      <c r="QBI33" s="38"/>
      <c r="QBJ33" s="38"/>
      <c r="QBK33" s="38"/>
      <c r="QBL33" s="38"/>
      <c r="QBM33" s="38"/>
      <c r="QBN33" s="38"/>
      <c r="QBO33" s="38"/>
      <c r="QBP33" s="38"/>
      <c r="QBQ33" s="38"/>
      <c r="QBR33" s="38"/>
      <c r="QBS33" s="38"/>
      <c r="QBT33" s="38"/>
      <c r="QBU33" s="38"/>
      <c r="QBV33" s="38"/>
      <c r="QBW33" s="38"/>
      <c r="QBX33" s="38"/>
      <c r="QBY33" s="38"/>
      <c r="QBZ33" s="38"/>
      <c r="QCA33" s="38"/>
      <c r="QCB33" s="38"/>
      <c r="QCC33" s="38"/>
      <c r="QCD33" s="38"/>
      <c r="QCE33" s="38"/>
      <c r="QCF33" s="38"/>
      <c r="QCG33" s="38"/>
      <c r="QCH33" s="38"/>
      <c r="QCI33" s="38"/>
      <c r="QCJ33" s="38"/>
      <c r="QCK33" s="38"/>
      <c r="QCL33" s="38"/>
      <c r="QCM33" s="38"/>
      <c r="QCN33" s="38"/>
      <c r="QCO33" s="38"/>
      <c r="QCP33" s="38"/>
      <c r="QCQ33" s="38"/>
      <c r="QCR33" s="38"/>
      <c r="QCS33" s="38"/>
      <c r="QCT33" s="38"/>
      <c r="QCU33" s="38"/>
      <c r="QCV33" s="38"/>
      <c r="QCW33" s="38"/>
      <c r="QCX33" s="38"/>
      <c r="QCY33" s="38"/>
      <c r="QCZ33" s="38"/>
      <c r="QDA33" s="38"/>
      <c r="QDB33" s="38"/>
      <c r="QDC33" s="38"/>
      <c r="QDD33" s="38"/>
      <c r="QDE33" s="38"/>
      <c r="QDF33" s="38"/>
      <c r="QDG33" s="38"/>
      <c r="QDH33" s="38"/>
      <c r="QDI33" s="38"/>
      <c r="QDJ33" s="38"/>
      <c r="QDK33" s="38"/>
      <c r="QDL33" s="38"/>
      <c r="QDM33" s="38"/>
      <c r="QDN33" s="38"/>
      <c r="QDO33" s="38"/>
      <c r="QDP33" s="38"/>
      <c r="QDQ33" s="38"/>
      <c r="QDR33" s="38"/>
      <c r="QDS33" s="38"/>
      <c r="QDT33" s="38"/>
      <c r="QDU33" s="38"/>
      <c r="QDV33" s="38"/>
      <c r="QDW33" s="38"/>
      <c r="QDX33" s="38"/>
      <c r="QDY33" s="38"/>
      <c r="QDZ33" s="38"/>
      <c r="QEA33" s="38"/>
      <c r="QEB33" s="38"/>
      <c r="QEC33" s="38"/>
      <c r="QED33" s="38"/>
      <c r="QEE33" s="38"/>
      <c r="QEF33" s="38"/>
      <c r="QEG33" s="38"/>
      <c r="QEH33" s="38"/>
      <c r="QEI33" s="38"/>
      <c r="QEJ33" s="38"/>
      <c r="QEK33" s="38"/>
      <c r="QEL33" s="38"/>
      <c r="QEM33" s="38"/>
      <c r="QEN33" s="38"/>
      <c r="QEO33" s="38"/>
      <c r="QEP33" s="38"/>
      <c r="QEQ33" s="38"/>
      <c r="QER33" s="38"/>
      <c r="QES33" s="38"/>
      <c r="QET33" s="38"/>
      <c r="QEU33" s="38"/>
      <c r="QEV33" s="38"/>
      <c r="QEW33" s="38"/>
      <c r="QEX33" s="38"/>
      <c r="QEY33" s="38"/>
      <c r="QEZ33" s="38"/>
      <c r="QFA33" s="38"/>
      <c r="QFB33" s="38"/>
      <c r="QFC33" s="38"/>
      <c r="QFD33" s="38"/>
      <c r="QFE33" s="38"/>
      <c r="QFF33" s="38"/>
      <c r="QFG33" s="38"/>
      <c r="QFH33" s="38"/>
      <c r="QFI33" s="38"/>
      <c r="QFJ33" s="38"/>
      <c r="QFK33" s="38"/>
      <c r="QFL33" s="38"/>
      <c r="QFM33" s="38"/>
      <c r="QFN33" s="38"/>
      <c r="QFO33" s="38"/>
      <c r="QFP33" s="38"/>
      <c r="QFQ33" s="38"/>
      <c r="QFR33" s="38"/>
      <c r="QFS33" s="38"/>
      <c r="QFT33" s="38"/>
      <c r="QFU33" s="38"/>
      <c r="QFV33" s="38"/>
      <c r="QFW33" s="38"/>
      <c r="QFX33" s="38"/>
      <c r="QFY33" s="38"/>
      <c r="QFZ33" s="38"/>
      <c r="QGA33" s="38"/>
      <c r="QGB33" s="38"/>
      <c r="QGC33" s="38"/>
      <c r="QGD33" s="38"/>
      <c r="QGE33" s="38"/>
      <c r="QGF33" s="38"/>
      <c r="QGG33" s="38"/>
      <c r="QGH33" s="38"/>
      <c r="QGI33" s="38"/>
      <c r="QGJ33" s="38"/>
      <c r="QGK33" s="38"/>
      <c r="QGL33" s="38"/>
      <c r="QGM33" s="38"/>
      <c r="QGN33" s="38"/>
      <c r="QGO33" s="38"/>
      <c r="QGP33" s="38"/>
      <c r="QGQ33" s="38"/>
      <c r="QGR33" s="38"/>
      <c r="QGS33" s="38"/>
      <c r="QGT33" s="38"/>
      <c r="QGU33" s="38"/>
      <c r="QGV33" s="38"/>
      <c r="QGW33" s="38"/>
      <c r="QGX33" s="38"/>
      <c r="QGY33" s="38"/>
      <c r="QGZ33" s="38"/>
      <c r="QHA33" s="38"/>
      <c r="QHB33" s="38"/>
      <c r="QHC33" s="38"/>
      <c r="QHD33" s="38"/>
      <c r="QHE33" s="38"/>
      <c r="QHF33" s="38"/>
      <c r="QHG33" s="38"/>
      <c r="QHH33" s="38"/>
      <c r="QHI33" s="38"/>
      <c r="QHJ33" s="38"/>
      <c r="QHK33" s="38"/>
      <c r="QHL33" s="38"/>
      <c r="QHM33" s="38"/>
      <c r="QHN33" s="38"/>
      <c r="QHO33" s="38"/>
      <c r="QHP33" s="38"/>
      <c r="QHQ33" s="38"/>
      <c r="QHR33" s="38"/>
      <c r="QHS33" s="38"/>
      <c r="QHT33" s="38"/>
      <c r="QHU33" s="38"/>
      <c r="QHV33" s="38"/>
      <c r="QHW33" s="38"/>
      <c r="QHX33" s="38"/>
      <c r="QHY33" s="38"/>
      <c r="QHZ33" s="38"/>
      <c r="QIA33" s="38"/>
      <c r="QIB33" s="38"/>
      <c r="QIC33" s="38"/>
      <c r="QID33" s="38"/>
      <c r="QIE33" s="38"/>
      <c r="QIF33" s="38"/>
      <c r="QIG33" s="38"/>
      <c r="QIH33" s="38"/>
      <c r="QII33" s="38"/>
      <c r="QIJ33" s="38"/>
      <c r="QIK33" s="38"/>
      <c r="QIL33" s="38"/>
      <c r="QIM33" s="38"/>
      <c r="QIN33" s="38"/>
      <c r="QIO33" s="38"/>
      <c r="QIP33" s="38"/>
      <c r="QIQ33" s="38"/>
      <c r="QIR33" s="38"/>
      <c r="QIS33" s="38"/>
      <c r="QIT33" s="38"/>
      <c r="QIU33" s="38"/>
      <c r="QIV33" s="38"/>
      <c r="QIW33" s="38"/>
      <c r="QIX33" s="38"/>
      <c r="QIY33" s="38"/>
      <c r="QIZ33" s="38"/>
      <c r="QJA33" s="38"/>
      <c r="QJB33" s="38"/>
      <c r="QJC33" s="38"/>
      <c r="QJD33" s="38"/>
      <c r="QJE33" s="38"/>
      <c r="QJF33" s="38"/>
      <c r="QJG33" s="38"/>
      <c r="QJH33" s="38"/>
      <c r="QJI33" s="38"/>
      <c r="QJJ33" s="38"/>
      <c r="QJK33" s="38"/>
      <c r="QJL33" s="38"/>
      <c r="QJM33" s="38"/>
      <c r="QJN33" s="38"/>
      <c r="QJO33" s="38"/>
      <c r="QJP33" s="38"/>
      <c r="QJQ33" s="38"/>
      <c r="QJR33" s="38"/>
      <c r="QJS33" s="38"/>
      <c r="QJT33" s="38"/>
      <c r="QJU33" s="38"/>
      <c r="QJV33" s="38"/>
      <c r="QJW33" s="38"/>
      <c r="QJX33" s="38"/>
      <c r="QJY33" s="38"/>
      <c r="QJZ33" s="38"/>
      <c r="QKA33" s="38"/>
      <c r="QKB33" s="38"/>
      <c r="QKC33" s="38"/>
      <c r="QKD33" s="38"/>
      <c r="QKE33" s="38"/>
      <c r="QKF33" s="38"/>
      <c r="QKG33" s="38"/>
      <c r="QKH33" s="38"/>
      <c r="QKI33" s="38"/>
      <c r="QKJ33" s="38"/>
      <c r="QKK33" s="38"/>
      <c r="QKL33" s="38"/>
      <c r="QKM33" s="38"/>
      <c r="QKN33" s="38"/>
      <c r="QKO33" s="38"/>
      <c r="QKP33" s="38"/>
      <c r="QKQ33" s="38"/>
      <c r="QKR33" s="38"/>
      <c r="QKS33" s="38"/>
      <c r="QKT33" s="38"/>
      <c r="QKU33" s="38"/>
      <c r="QKV33" s="38"/>
      <c r="QKW33" s="38"/>
      <c r="QKX33" s="38"/>
      <c r="QKY33" s="38"/>
      <c r="QKZ33" s="38"/>
      <c r="QLA33" s="38"/>
      <c r="QLB33" s="38"/>
      <c r="QLC33" s="38"/>
      <c r="QLD33" s="38"/>
      <c r="QLE33" s="38"/>
      <c r="QLF33" s="38"/>
      <c r="QLG33" s="38"/>
      <c r="QLH33" s="38"/>
      <c r="QLI33" s="38"/>
      <c r="QLJ33" s="38"/>
      <c r="QLK33" s="38"/>
      <c r="QLL33" s="38"/>
      <c r="QLM33" s="38"/>
      <c r="QLN33" s="38"/>
      <c r="QLO33" s="38"/>
      <c r="QLP33" s="38"/>
      <c r="QLQ33" s="38"/>
      <c r="QLR33" s="38"/>
      <c r="QLS33" s="38"/>
      <c r="QLT33" s="38"/>
      <c r="QLU33" s="38"/>
      <c r="QLV33" s="38"/>
      <c r="QLW33" s="38"/>
      <c r="QLX33" s="38"/>
      <c r="QLY33" s="38"/>
      <c r="QLZ33" s="38"/>
      <c r="QMA33" s="38"/>
      <c r="QMB33" s="38"/>
      <c r="QMC33" s="38"/>
      <c r="QMD33" s="38"/>
      <c r="QME33" s="38"/>
      <c r="QMF33" s="38"/>
      <c r="QMG33" s="38"/>
      <c r="QMH33" s="38"/>
      <c r="QMI33" s="38"/>
      <c r="QMJ33" s="38"/>
      <c r="QMK33" s="38"/>
      <c r="QML33" s="38"/>
      <c r="QMM33" s="38"/>
      <c r="QMN33" s="38"/>
      <c r="QMO33" s="38"/>
      <c r="QMP33" s="38"/>
      <c r="QMQ33" s="38"/>
      <c r="QMR33" s="38"/>
      <c r="QMS33" s="38"/>
      <c r="QMT33" s="38"/>
      <c r="QMU33" s="38"/>
      <c r="QMV33" s="38"/>
      <c r="QMW33" s="38"/>
      <c r="QMX33" s="38"/>
      <c r="QMY33" s="38"/>
      <c r="QMZ33" s="38"/>
      <c r="QNA33" s="38"/>
      <c r="QNB33" s="38"/>
      <c r="QNC33" s="38"/>
      <c r="QND33" s="38"/>
      <c r="QNE33" s="38"/>
      <c r="QNF33" s="38"/>
      <c r="QNG33" s="38"/>
      <c r="QNH33" s="38"/>
      <c r="QNI33" s="38"/>
      <c r="QNJ33" s="38"/>
      <c r="QNK33" s="38"/>
      <c r="QNL33" s="38"/>
      <c r="QNM33" s="38"/>
      <c r="QNN33" s="38"/>
      <c r="QNO33" s="38"/>
      <c r="QNP33" s="38"/>
      <c r="QNQ33" s="38"/>
      <c r="QNR33" s="38"/>
      <c r="QNS33" s="38"/>
      <c r="QNT33" s="38"/>
      <c r="QNU33" s="38"/>
      <c r="QNV33" s="38"/>
      <c r="QNW33" s="38"/>
      <c r="QNX33" s="38"/>
      <c r="QNY33" s="38"/>
      <c r="QNZ33" s="38"/>
      <c r="QOA33" s="38"/>
      <c r="QOB33" s="38"/>
      <c r="QOC33" s="38"/>
      <c r="QOD33" s="38"/>
      <c r="QOE33" s="38"/>
      <c r="QOF33" s="38"/>
      <c r="QOG33" s="38"/>
      <c r="QOH33" s="38"/>
      <c r="QOI33" s="38"/>
      <c r="QOJ33" s="38"/>
      <c r="QOK33" s="38"/>
      <c r="QOL33" s="38"/>
      <c r="QOM33" s="38"/>
      <c r="QON33" s="38"/>
      <c r="QOO33" s="38"/>
      <c r="QOP33" s="38"/>
      <c r="QOQ33" s="38"/>
      <c r="QOR33" s="38"/>
      <c r="QOS33" s="38"/>
      <c r="QOT33" s="38"/>
      <c r="QOU33" s="38"/>
      <c r="QOV33" s="38"/>
      <c r="QOW33" s="38"/>
      <c r="QOX33" s="38"/>
      <c r="QOY33" s="38"/>
      <c r="QOZ33" s="38"/>
      <c r="QPA33" s="38"/>
      <c r="QPB33" s="38"/>
      <c r="QPC33" s="38"/>
      <c r="QPD33" s="38"/>
      <c r="QPE33" s="38"/>
      <c r="QPF33" s="38"/>
      <c r="QPG33" s="38"/>
      <c r="QPH33" s="38"/>
      <c r="QPI33" s="38"/>
      <c r="QPJ33" s="38"/>
      <c r="QPK33" s="38"/>
      <c r="QPL33" s="38"/>
      <c r="QPM33" s="38"/>
      <c r="QPN33" s="38"/>
      <c r="QPO33" s="38"/>
      <c r="QPP33" s="38"/>
      <c r="QPQ33" s="38"/>
      <c r="QPR33" s="38"/>
      <c r="QPS33" s="38"/>
      <c r="QPT33" s="38"/>
      <c r="QPU33" s="38"/>
      <c r="QPV33" s="38"/>
      <c r="QPW33" s="38"/>
      <c r="QPX33" s="38"/>
      <c r="QPY33" s="38"/>
      <c r="QPZ33" s="38"/>
      <c r="QQA33" s="38"/>
      <c r="QQB33" s="38"/>
      <c r="QQC33" s="38"/>
      <c r="QQD33" s="38"/>
      <c r="QQE33" s="38"/>
      <c r="QQF33" s="38"/>
      <c r="QQG33" s="38"/>
      <c r="QQH33" s="38"/>
      <c r="QQI33" s="38"/>
      <c r="QQJ33" s="38"/>
      <c r="QQK33" s="38"/>
      <c r="QQL33" s="38"/>
      <c r="QQM33" s="38"/>
      <c r="QQN33" s="38"/>
      <c r="QQO33" s="38"/>
      <c r="QQP33" s="38"/>
      <c r="QQQ33" s="38"/>
      <c r="QQR33" s="38"/>
      <c r="QQS33" s="38"/>
      <c r="QQT33" s="38"/>
      <c r="QQU33" s="38"/>
      <c r="QQV33" s="38"/>
      <c r="QQW33" s="38"/>
      <c r="QQX33" s="38"/>
      <c r="QQY33" s="38"/>
      <c r="QQZ33" s="38"/>
      <c r="QRA33" s="38"/>
      <c r="QRB33" s="38"/>
      <c r="QRC33" s="38"/>
      <c r="QRD33" s="38"/>
      <c r="QRE33" s="38"/>
      <c r="QRF33" s="38"/>
      <c r="QRG33" s="38"/>
      <c r="QRH33" s="38"/>
      <c r="QRI33" s="38"/>
      <c r="QRJ33" s="38"/>
      <c r="QRK33" s="38"/>
      <c r="QRL33" s="38"/>
      <c r="QRM33" s="38"/>
      <c r="QRN33" s="38"/>
      <c r="QRO33" s="38"/>
      <c r="QRP33" s="38"/>
      <c r="QRQ33" s="38"/>
      <c r="QRR33" s="38"/>
      <c r="QRS33" s="38"/>
      <c r="QRT33" s="38"/>
      <c r="QRU33" s="38"/>
      <c r="QRV33" s="38"/>
      <c r="QRW33" s="38"/>
      <c r="QRX33" s="38"/>
      <c r="QRY33" s="38"/>
      <c r="QRZ33" s="38"/>
      <c r="QSA33" s="38"/>
      <c r="QSB33" s="38"/>
      <c r="QSC33" s="38"/>
      <c r="QSD33" s="38"/>
      <c r="QSE33" s="38"/>
      <c r="QSF33" s="38"/>
      <c r="QSG33" s="38"/>
      <c r="QSH33" s="38"/>
      <c r="QSI33" s="38"/>
      <c r="QSJ33" s="38"/>
      <c r="QSK33" s="38"/>
      <c r="QSL33" s="38"/>
      <c r="QSM33" s="38"/>
      <c r="QSN33" s="38"/>
      <c r="QSO33" s="38"/>
      <c r="QSP33" s="38"/>
      <c r="QSQ33" s="38"/>
      <c r="QSR33" s="38"/>
      <c r="QSS33" s="38"/>
      <c r="QST33" s="38"/>
      <c r="QSU33" s="38"/>
      <c r="QSV33" s="38"/>
      <c r="QSW33" s="38"/>
      <c r="QSX33" s="38"/>
      <c r="QSY33" s="38"/>
      <c r="QSZ33" s="38"/>
      <c r="QTA33" s="38"/>
      <c r="QTB33" s="38"/>
      <c r="QTC33" s="38"/>
      <c r="QTD33" s="38"/>
      <c r="QTE33" s="38"/>
      <c r="QTF33" s="38"/>
      <c r="QTG33" s="38"/>
      <c r="QTH33" s="38"/>
      <c r="QTI33" s="38"/>
      <c r="QTJ33" s="38"/>
      <c r="QTK33" s="38"/>
      <c r="QTL33" s="38"/>
      <c r="QTM33" s="38"/>
      <c r="QTN33" s="38"/>
      <c r="QTO33" s="38"/>
      <c r="QTP33" s="38"/>
      <c r="QTQ33" s="38"/>
      <c r="QTR33" s="38"/>
      <c r="QTS33" s="38"/>
      <c r="QTT33" s="38"/>
      <c r="QTU33" s="38"/>
      <c r="QTV33" s="38"/>
      <c r="QTW33" s="38"/>
      <c r="QTX33" s="38"/>
      <c r="QTY33" s="38"/>
      <c r="QTZ33" s="38"/>
      <c r="QUA33" s="38"/>
      <c r="QUB33" s="38"/>
      <c r="QUC33" s="38"/>
      <c r="QUD33" s="38"/>
      <c r="QUE33" s="38"/>
      <c r="QUF33" s="38"/>
      <c r="QUG33" s="38"/>
      <c r="QUH33" s="38"/>
      <c r="QUI33" s="38"/>
      <c r="QUJ33" s="38"/>
      <c r="QUK33" s="38"/>
      <c r="QUL33" s="38"/>
      <c r="QUM33" s="38"/>
      <c r="QUN33" s="38"/>
      <c r="QUO33" s="38"/>
      <c r="QUP33" s="38"/>
      <c r="QUQ33" s="38"/>
      <c r="QUR33" s="38"/>
      <c r="QUS33" s="38"/>
      <c r="QUT33" s="38"/>
      <c r="QUU33" s="38"/>
      <c r="QUV33" s="38"/>
      <c r="QUW33" s="38"/>
      <c r="QUX33" s="38"/>
      <c r="QUY33" s="38"/>
      <c r="QUZ33" s="38"/>
      <c r="QVA33" s="38"/>
      <c r="QVB33" s="38"/>
      <c r="QVC33" s="38"/>
      <c r="QVD33" s="38"/>
      <c r="QVE33" s="38"/>
      <c r="QVF33" s="38"/>
      <c r="QVG33" s="38"/>
      <c r="QVH33" s="38"/>
      <c r="QVI33" s="38"/>
      <c r="QVJ33" s="38"/>
      <c r="QVK33" s="38"/>
      <c r="QVL33" s="38"/>
      <c r="QVM33" s="38"/>
      <c r="QVN33" s="38"/>
      <c r="QVO33" s="38"/>
      <c r="QVP33" s="38"/>
      <c r="QVQ33" s="38"/>
      <c r="QVR33" s="38"/>
      <c r="QVS33" s="38"/>
      <c r="QVT33" s="38"/>
      <c r="QVU33" s="38"/>
      <c r="QVV33" s="38"/>
      <c r="QVW33" s="38"/>
      <c r="QVX33" s="38"/>
      <c r="QVY33" s="38"/>
      <c r="QVZ33" s="38"/>
      <c r="QWA33" s="38"/>
      <c r="QWB33" s="38"/>
      <c r="QWC33" s="38"/>
      <c r="QWD33" s="38"/>
      <c r="QWE33" s="38"/>
      <c r="QWF33" s="38"/>
      <c r="QWG33" s="38"/>
      <c r="QWH33" s="38"/>
      <c r="QWI33" s="38"/>
      <c r="QWJ33" s="38"/>
      <c r="QWK33" s="38"/>
      <c r="QWL33" s="38"/>
      <c r="QWM33" s="38"/>
      <c r="QWN33" s="38"/>
      <c r="QWO33" s="38"/>
      <c r="QWP33" s="38"/>
      <c r="QWQ33" s="38"/>
      <c r="QWR33" s="38"/>
      <c r="QWS33" s="38"/>
      <c r="QWT33" s="38"/>
      <c r="QWU33" s="38"/>
      <c r="QWV33" s="38"/>
      <c r="QWW33" s="38"/>
      <c r="QWX33" s="38"/>
      <c r="QWY33" s="38"/>
      <c r="QWZ33" s="38"/>
      <c r="QXA33" s="38"/>
      <c r="QXB33" s="38"/>
      <c r="QXC33" s="38"/>
      <c r="QXD33" s="38"/>
      <c r="QXE33" s="38"/>
      <c r="QXF33" s="38"/>
      <c r="QXG33" s="38"/>
      <c r="QXH33" s="38"/>
      <c r="QXI33" s="38"/>
      <c r="QXJ33" s="38"/>
      <c r="QXK33" s="38"/>
      <c r="QXL33" s="38"/>
      <c r="QXM33" s="38"/>
      <c r="QXN33" s="38"/>
      <c r="QXO33" s="38"/>
      <c r="QXP33" s="38"/>
      <c r="QXQ33" s="38"/>
      <c r="QXR33" s="38"/>
      <c r="QXS33" s="38"/>
      <c r="QXT33" s="38"/>
      <c r="QXU33" s="38"/>
      <c r="QXV33" s="38"/>
      <c r="QXW33" s="38"/>
      <c r="QXX33" s="38"/>
      <c r="QXY33" s="38"/>
      <c r="QXZ33" s="38"/>
      <c r="QYA33" s="38"/>
      <c r="QYB33" s="38"/>
      <c r="QYC33" s="38"/>
      <c r="QYD33" s="38"/>
      <c r="QYE33" s="38"/>
      <c r="QYF33" s="38"/>
      <c r="QYG33" s="38"/>
      <c r="QYH33" s="38"/>
      <c r="QYI33" s="38"/>
      <c r="QYJ33" s="38"/>
      <c r="QYK33" s="38"/>
      <c r="QYL33" s="38"/>
      <c r="QYM33" s="38"/>
      <c r="QYN33" s="38"/>
      <c r="QYO33" s="38"/>
      <c r="QYP33" s="38"/>
      <c r="QYQ33" s="38"/>
      <c r="QYR33" s="38"/>
      <c r="QYS33" s="38"/>
      <c r="QYT33" s="38"/>
      <c r="QYU33" s="38"/>
      <c r="QYV33" s="38"/>
      <c r="QYW33" s="38"/>
      <c r="QYX33" s="38"/>
      <c r="QYY33" s="38"/>
      <c r="QYZ33" s="38"/>
      <c r="QZA33" s="38"/>
      <c r="QZB33" s="38"/>
      <c r="QZC33" s="38"/>
      <c r="QZD33" s="38"/>
      <c r="QZE33" s="38"/>
      <c r="QZF33" s="38"/>
      <c r="QZG33" s="38"/>
      <c r="QZH33" s="38"/>
      <c r="QZI33" s="38"/>
      <c r="QZJ33" s="38"/>
      <c r="QZK33" s="38"/>
      <c r="QZL33" s="38"/>
      <c r="QZM33" s="38"/>
      <c r="QZN33" s="38"/>
      <c r="QZO33" s="38"/>
      <c r="QZP33" s="38"/>
      <c r="QZQ33" s="38"/>
      <c r="QZR33" s="38"/>
      <c r="QZS33" s="38"/>
      <c r="QZT33" s="38"/>
      <c r="QZU33" s="38"/>
      <c r="QZV33" s="38"/>
      <c r="QZW33" s="38"/>
      <c r="QZX33" s="38"/>
      <c r="QZY33" s="38"/>
      <c r="QZZ33" s="38"/>
      <c r="RAA33" s="38"/>
      <c r="RAB33" s="38"/>
      <c r="RAC33" s="38"/>
      <c r="RAD33" s="38"/>
      <c r="RAE33" s="38"/>
      <c r="RAF33" s="38"/>
      <c r="RAG33" s="38"/>
      <c r="RAH33" s="38"/>
      <c r="RAI33" s="38"/>
      <c r="RAJ33" s="38"/>
      <c r="RAK33" s="38"/>
      <c r="RAL33" s="38"/>
      <c r="RAM33" s="38"/>
      <c r="RAN33" s="38"/>
      <c r="RAO33" s="38"/>
      <c r="RAP33" s="38"/>
      <c r="RAQ33" s="38"/>
      <c r="RAR33" s="38"/>
      <c r="RAS33" s="38"/>
      <c r="RAT33" s="38"/>
      <c r="RAU33" s="38"/>
      <c r="RAV33" s="38"/>
      <c r="RAW33" s="38"/>
      <c r="RAX33" s="38"/>
      <c r="RAY33" s="38"/>
      <c r="RAZ33" s="38"/>
      <c r="RBA33" s="38"/>
      <c r="RBB33" s="38"/>
      <c r="RBC33" s="38"/>
      <c r="RBD33" s="38"/>
      <c r="RBE33" s="38"/>
      <c r="RBF33" s="38"/>
      <c r="RBG33" s="38"/>
      <c r="RBH33" s="38"/>
      <c r="RBI33" s="38"/>
      <c r="RBJ33" s="38"/>
      <c r="RBK33" s="38"/>
      <c r="RBL33" s="38"/>
      <c r="RBM33" s="38"/>
      <c r="RBN33" s="38"/>
      <c r="RBO33" s="38"/>
      <c r="RBP33" s="38"/>
      <c r="RBQ33" s="38"/>
      <c r="RBR33" s="38"/>
      <c r="RBS33" s="38"/>
      <c r="RBT33" s="38"/>
      <c r="RBU33" s="38"/>
      <c r="RBV33" s="38"/>
      <c r="RBW33" s="38"/>
      <c r="RBX33" s="38"/>
      <c r="RBY33" s="38"/>
      <c r="RBZ33" s="38"/>
      <c r="RCA33" s="38"/>
      <c r="RCB33" s="38"/>
      <c r="RCC33" s="38"/>
      <c r="RCD33" s="38"/>
      <c r="RCE33" s="38"/>
      <c r="RCF33" s="38"/>
      <c r="RCG33" s="38"/>
      <c r="RCH33" s="38"/>
      <c r="RCI33" s="38"/>
      <c r="RCJ33" s="38"/>
      <c r="RCK33" s="38"/>
      <c r="RCL33" s="38"/>
      <c r="RCM33" s="38"/>
      <c r="RCN33" s="38"/>
      <c r="RCO33" s="38"/>
      <c r="RCP33" s="38"/>
      <c r="RCQ33" s="38"/>
      <c r="RCR33" s="38"/>
      <c r="RCS33" s="38"/>
      <c r="RCT33" s="38"/>
      <c r="RCU33" s="38"/>
      <c r="RCV33" s="38"/>
      <c r="RCW33" s="38"/>
      <c r="RCX33" s="38"/>
      <c r="RCY33" s="38"/>
      <c r="RCZ33" s="38"/>
      <c r="RDA33" s="38"/>
      <c r="RDB33" s="38"/>
      <c r="RDC33" s="38"/>
      <c r="RDD33" s="38"/>
      <c r="RDE33" s="38"/>
      <c r="RDF33" s="38"/>
      <c r="RDG33" s="38"/>
      <c r="RDH33" s="38"/>
      <c r="RDI33" s="38"/>
      <c r="RDJ33" s="38"/>
      <c r="RDK33" s="38"/>
      <c r="RDL33" s="38"/>
      <c r="RDM33" s="38"/>
      <c r="RDN33" s="38"/>
      <c r="RDO33" s="38"/>
      <c r="RDP33" s="38"/>
      <c r="RDQ33" s="38"/>
      <c r="RDR33" s="38"/>
      <c r="RDS33" s="38"/>
      <c r="RDT33" s="38"/>
      <c r="RDU33" s="38"/>
      <c r="RDV33" s="38"/>
      <c r="RDW33" s="38"/>
      <c r="RDX33" s="38"/>
      <c r="RDY33" s="38"/>
      <c r="RDZ33" s="38"/>
      <c r="REA33" s="38"/>
      <c r="REB33" s="38"/>
      <c r="REC33" s="38"/>
      <c r="RED33" s="38"/>
      <c r="REE33" s="38"/>
      <c r="REF33" s="38"/>
      <c r="REG33" s="38"/>
      <c r="REH33" s="38"/>
      <c r="REI33" s="38"/>
      <c r="REJ33" s="38"/>
      <c r="REK33" s="38"/>
      <c r="REL33" s="38"/>
      <c r="REM33" s="38"/>
      <c r="REN33" s="38"/>
      <c r="REO33" s="38"/>
      <c r="REP33" s="38"/>
      <c r="REQ33" s="38"/>
      <c r="RER33" s="38"/>
      <c r="RES33" s="38"/>
      <c r="RET33" s="38"/>
      <c r="REU33" s="38"/>
      <c r="REV33" s="38"/>
      <c r="REW33" s="38"/>
      <c r="REX33" s="38"/>
      <c r="REY33" s="38"/>
      <c r="REZ33" s="38"/>
      <c r="RFA33" s="38"/>
      <c r="RFB33" s="38"/>
      <c r="RFC33" s="38"/>
      <c r="RFD33" s="38"/>
      <c r="RFE33" s="38"/>
      <c r="RFF33" s="38"/>
      <c r="RFG33" s="38"/>
      <c r="RFH33" s="38"/>
      <c r="RFI33" s="38"/>
      <c r="RFJ33" s="38"/>
      <c r="RFK33" s="38"/>
      <c r="RFL33" s="38"/>
      <c r="RFM33" s="38"/>
      <c r="RFN33" s="38"/>
      <c r="RFO33" s="38"/>
      <c r="RFP33" s="38"/>
      <c r="RFQ33" s="38"/>
      <c r="RFR33" s="38"/>
      <c r="RFS33" s="38"/>
      <c r="RFT33" s="38"/>
      <c r="RFU33" s="38"/>
      <c r="RFV33" s="38"/>
      <c r="RFW33" s="38"/>
      <c r="RFX33" s="38"/>
      <c r="RFY33" s="38"/>
      <c r="RFZ33" s="38"/>
      <c r="RGA33" s="38"/>
      <c r="RGB33" s="38"/>
      <c r="RGC33" s="38"/>
      <c r="RGD33" s="38"/>
      <c r="RGE33" s="38"/>
      <c r="RGF33" s="38"/>
      <c r="RGG33" s="38"/>
      <c r="RGH33" s="38"/>
      <c r="RGI33" s="38"/>
      <c r="RGJ33" s="38"/>
      <c r="RGK33" s="38"/>
      <c r="RGL33" s="38"/>
      <c r="RGM33" s="38"/>
      <c r="RGN33" s="38"/>
      <c r="RGO33" s="38"/>
      <c r="RGP33" s="38"/>
      <c r="RGQ33" s="38"/>
      <c r="RGR33" s="38"/>
      <c r="RGS33" s="38"/>
      <c r="RGT33" s="38"/>
      <c r="RGU33" s="38"/>
      <c r="RGV33" s="38"/>
      <c r="RGW33" s="38"/>
      <c r="RGX33" s="38"/>
      <c r="RGY33" s="38"/>
      <c r="RGZ33" s="38"/>
      <c r="RHA33" s="38"/>
      <c r="RHB33" s="38"/>
      <c r="RHC33" s="38"/>
      <c r="RHD33" s="38"/>
      <c r="RHE33" s="38"/>
      <c r="RHF33" s="38"/>
      <c r="RHG33" s="38"/>
      <c r="RHH33" s="38"/>
      <c r="RHI33" s="38"/>
      <c r="RHJ33" s="38"/>
      <c r="RHK33" s="38"/>
      <c r="RHL33" s="38"/>
      <c r="RHM33" s="38"/>
      <c r="RHN33" s="38"/>
      <c r="RHO33" s="38"/>
      <c r="RHP33" s="38"/>
      <c r="RHQ33" s="38"/>
      <c r="RHR33" s="38"/>
      <c r="RHS33" s="38"/>
      <c r="RHT33" s="38"/>
      <c r="RHU33" s="38"/>
      <c r="RHV33" s="38"/>
      <c r="RHW33" s="38"/>
      <c r="RHX33" s="38"/>
      <c r="RHY33" s="38"/>
      <c r="RHZ33" s="38"/>
      <c r="RIA33" s="38"/>
      <c r="RIB33" s="38"/>
      <c r="RIC33" s="38"/>
      <c r="RID33" s="38"/>
      <c r="RIE33" s="38"/>
      <c r="RIF33" s="38"/>
      <c r="RIG33" s="38"/>
      <c r="RIH33" s="38"/>
      <c r="RII33" s="38"/>
      <c r="RIJ33" s="38"/>
      <c r="RIK33" s="38"/>
      <c r="RIL33" s="38"/>
      <c r="RIM33" s="38"/>
      <c r="RIN33" s="38"/>
      <c r="RIO33" s="38"/>
      <c r="RIP33" s="38"/>
      <c r="RIQ33" s="38"/>
      <c r="RIR33" s="38"/>
      <c r="RIS33" s="38"/>
      <c r="RIT33" s="38"/>
      <c r="RIU33" s="38"/>
      <c r="RIV33" s="38"/>
      <c r="RIW33" s="38"/>
      <c r="RIX33" s="38"/>
      <c r="RIY33" s="38"/>
      <c r="RIZ33" s="38"/>
      <c r="RJA33" s="38"/>
      <c r="RJB33" s="38"/>
      <c r="RJC33" s="38"/>
      <c r="RJD33" s="38"/>
      <c r="RJE33" s="38"/>
      <c r="RJF33" s="38"/>
      <c r="RJG33" s="38"/>
      <c r="RJH33" s="38"/>
      <c r="RJI33" s="38"/>
      <c r="RJJ33" s="38"/>
      <c r="RJK33" s="38"/>
      <c r="RJL33" s="38"/>
      <c r="RJM33" s="38"/>
      <c r="RJN33" s="38"/>
      <c r="RJO33" s="38"/>
      <c r="RJP33" s="38"/>
      <c r="RJQ33" s="38"/>
      <c r="RJR33" s="38"/>
      <c r="RJS33" s="38"/>
      <c r="RJT33" s="38"/>
      <c r="RJU33" s="38"/>
      <c r="RJV33" s="38"/>
      <c r="RJW33" s="38"/>
      <c r="RJX33" s="38"/>
      <c r="RJY33" s="38"/>
      <c r="RJZ33" s="38"/>
      <c r="RKA33" s="38"/>
      <c r="RKB33" s="38"/>
      <c r="RKC33" s="38"/>
      <c r="RKD33" s="38"/>
      <c r="RKE33" s="38"/>
      <c r="RKF33" s="38"/>
      <c r="RKG33" s="38"/>
      <c r="RKH33" s="38"/>
      <c r="RKI33" s="38"/>
      <c r="RKJ33" s="38"/>
      <c r="RKK33" s="38"/>
      <c r="RKL33" s="38"/>
      <c r="RKM33" s="38"/>
      <c r="RKN33" s="38"/>
      <c r="RKO33" s="38"/>
      <c r="RKP33" s="38"/>
      <c r="RKQ33" s="38"/>
      <c r="RKR33" s="38"/>
      <c r="RKS33" s="38"/>
      <c r="RKT33" s="38"/>
      <c r="RKU33" s="38"/>
      <c r="RKV33" s="38"/>
      <c r="RKW33" s="38"/>
      <c r="RKX33" s="38"/>
      <c r="RKY33" s="38"/>
      <c r="RKZ33" s="38"/>
      <c r="RLA33" s="38"/>
      <c r="RLB33" s="38"/>
      <c r="RLC33" s="38"/>
      <c r="RLD33" s="38"/>
      <c r="RLE33" s="38"/>
      <c r="RLF33" s="38"/>
      <c r="RLG33" s="38"/>
      <c r="RLH33" s="38"/>
      <c r="RLI33" s="38"/>
      <c r="RLJ33" s="38"/>
      <c r="RLK33" s="38"/>
      <c r="RLL33" s="38"/>
      <c r="RLM33" s="38"/>
      <c r="RLN33" s="38"/>
      <c r="RLO33" s="38"/>
      <c r="RLP33" s="38"/>
      <c r="RLQ33" s="38"/>
      <c r="RLR33" s="38"/>
      <c r="RLS33" s="38"/>
      <c r="RLT33" s="38"/>
      <c r="RLU33" s="38"/>
      <c r="RLV33" s="38"/>
      <c r="RLW33" s="38"/>
      <c r="RLX33" s="38"/>
      <c r="RLY33" s="38"/>
      <c r="RLZ33" s="38"/>
      <c r="RMA33" s="38"/>
      <c r="RMB33" s="38"/>
      <c r="RMC33" s="38"/>
      <c r="RMD33" s="38"/>
      <c r="RME33" s="38"/>
      <c r="RMF33" s="38"/>
      <c r="RMG33" s="38"/>
      <c r="RMH33" s="38"/>
      <c r="RMI33" s="38"/>
      <c r="RMJ33" s="38"/>
      <c r="RMK33" s="38"/>
      <c r="RML33" s="38"/>
      <c r="RMM33" s="38"/>
      <c r="RMN33" s="38"/>
      <c r="RMO33" s="38"/>
      <c r="RMP33" s="38"/>
      <c r="RMQ33" s="38"/>
      <c r="RMR33" s="38"/>
      <c r="RMS33" s="38"/>
      <c r="RMT33" s="38"/>
      <c r="RMU33" s="38"/>
      <c r="RMV33" s="38"/>
      <c r="RMW33" s="38"/>
      <c r="RMX33" s="38"/>
      <c r="RMY33" s="38"/>
      <c r="RMZ33" s="38"/>
      <c r="RNA33" s="38"/>
      <c r="RNB33" s="38"/>
      <c r="RNC33" s="38"/>
      <c r="RND33" s="38"/>
      <c r="RNE33" s="38"/>
      <c r="RNF33" s="38"/>
      <c r="RNG33" s="38"/>
      <c r="RNH33" s="38"/>
      <c r="RNI33" s="38"/>
      <c r="RNJ33" s="38"/>
      <c r="RNK33" s="38"/>
      <c r="RNL33" s="38"/>
      <c r="RNM33" s="38"/>
      <c r="RNN33" s="38"/>
      <c r="RNO33" s="38"/>
      <c r="RNP33" s="38"/>
      <c r="RNQ33" s="38"/>
      <c r="RNR33" s="38"/>
      <c r="RNS33" s="38"/>
      <c r="RNT33" s="38"/>
      <c r="RNU33" s="38"/>
      <c r="RNV33" s="38"/>
      <c r="RNW33" s="38"/>
      <c r="RNX33" s="38"/>
      <c r="RNY33" s="38"/>
      <c r="RNZ33" s="38"/>
      <c r="ROA33" s="38"/>
      <c r="ROB33" s="38"/>
      <c r="ROC33" s="38"/>
      <c r="ROD33" s="38"/>
      <c r="ROE33" s="38"/>
      <c r="ROF33" s="38"/>
      <c r="ROG33" s="38"/>
      <c r="ROH33" s="38"/>
      <c r="ROI33" s="38"/>
      <c r="ROJ33" s="38"/>
      <c r="ROK33" s="38"/>
      <c r="ROL33" s="38"/>
      <c r="ROM33" s="38"/>
      <c r="RON33" s="38"/>
      <c r="ROO33" s="38"/>
      <c r="ROP33" s="38"/>
      <c r="ROQ33" s="38"/>
      <c r="ROR33" s="38"/>
      <c r="ROS33" s="38"/>
      <c r="ROT33" s="38"/>
      <c r="ROU33" s="38"/>
      <c r="ROV33" s="38"/>
      <c r="ROW33" s="38"/>
      <c r="ROX33" s="38"/>
      <c r="ROY33" s="38"/>
      <c r="ROZ33" s="38"/>
      <c r="RPA33" s="38"/>
      <c r="RPB33" s="38"/>
      <c r="RPC33" s="38"/>
      <c r="RPD33" s="38"/>
      <c r="RPE33" s="38"/>
      <c r="RPF33" s="38"/>
      <c r="RPG33" s="38"/>
      <c r="RPH33" s="38"/>
      <c r="RPI33" s="38"/>
      <c r="RPJ33" s="38"/>
      <c r="RPK33" s="38"/>
      <c r="RPL33" s="38"/>
      <c r="RPM33" s="38"/>
      <c r="RPN33" s="38"/>
      <c r="RPO33" s="38"/>
      <c r="RPP33" s="38"/>
      <c r="RPQ33" s="38"/>
      <c r="RPR33" s="38"/>
      <c r="RPS33" s="38"/>
      <c r="RPT33" s="38"/>
      <c r="RPU33" s="38"/>
      <c r="RPV33" s="38"/>
      <c r="RPW33" s="38"/>
      <c r="RPX33" s="38"/>
      <c r="RPY33" s="38"/>
      <c r="RPZ33" s="38"/>
      <c r="RQA33" s="38"/>
      <c r="RQB33" s="38"/>
      <c r="RQC33" s="38"/>
      <c r="RQD33" s="38"/>
      <c r="RQE33" s="38"/>
      <c r="RQF33" s="38"/>
      <c r="RQG33" s="38"/>
      <c r="RQH33" s="38"/>
      <c r="RQI33" s="38"/>
      <c r="RQJ33" s="38"/>
      <c r="RQK33" s="38"/>
      <c r="RQL33" s="38"/>
      <c r="RQM33" s="38"/>
      <c r="RQN33" s="38"/>
      <c r="RQO33" s="38"/>
      <c r="RQP33" s="38"/>
      <c r="RQQ33" s="38"/>
      <c r="RQR33" s="38"/>
      <c r="RQS33" s="38"/>
      <c r="RQT33" s="38"/>
      <c r="RQU33" s="38"/>
      <c r="RQV33" s="38"/>
      <c r="RQW33" s="38"/>
      <c r="RQX33" s="38"/>
      <c r="RQY33" s="38"/>
      <c r="RQZ33" s="38"/>
      <c r="RRA33" s="38"/>
      <c r="RRB33" s="38"/>
      <c r="RRC33" s="38"/>
      <c r="RRD33" s="38"/>
      <c r="RRE33" s="38"/>
      <c r="RRF33" s="38"/>
      <c r="RRG33" s="38"/>
      <c r="RRH33" s="38"/>
      <c r="RRI33" s="38"/>
      <c r="RRJ33" s="38"/>
      <c r="RRK33" s="38"/>
      <c r="RRL33" s="38"/>
      <c r="RRM33" s="38"/>
      <c r="RRN33" s="38"/>
      <c r="RRO33" s="38"/>
      <c r="RRP33" s="38"/>
      <c r="RRQ33" s="38"/>
      <c r="RRR33" s="38"/>
      <c r="RRS33" s="38"/>
      <c r="RRT33" s="38"/>
      <c r="RRU33" s="38"/>
      <c r="RRV33" s="38"/>
      <c r="RRW33" s="38"/>
      <c r="RRX33" s="38"/>
      <c r="RRY33" s="38"/>
      <c r="RRZ33" s="38"/>
      <c r="RSA33" s="38"/>
      <c r="RSB33" s="38"/>
      <c r="RSC33" s="38"/>
      <c r="RSD33" s="38"/>
      <c r="RSE33" s="38"/>
      <c r="RSF33" s="38"/>
      <c r="RSG33" s="38"/>
      <c r="RSH33" s="38"/>
      <c r="RSI33" s="38"/>
      <c r="RSJ33" s="38"/>
      <c r="RSK33" s="38"/>
      <c r="RSL33" s="38"/>
      <c r="RSM33" s="38"/>
      <c r="RSN33" s="38"/>
      <c r="RSO33" s="38"/>
      <c r="RSP33" s="38"/>
      <c r="RSQ33" s="38"/>
      <c r="RSR33" s="38"/>
      <c r="RSS33" s="38"/>
      <c r="RST33" s="38"/>
      <c r="RSU33" s="38"/>
      <c r="RSV33" s="38"/>
      <c r="RSW33" s="38"/>
      <c r="RSX33" s="38"/>
      <c r="RSY33" s="38"/>
      <c r="RSZ33" s="38"/>
      <c r="RTA33" s="38"/>
      <c r="RTB33" s="38"/>
      <c r="RTC33" s="38"/>
      <c r="RTD33" s="38"/>
      <c r="RTE33" s="38"/>
      <c r="RTF33" s="38"/>
      <c r="RTG33" s="38"/>
      <c r="RTH33" s="38"/>
      <c r="RTI33" s="38"/>
      <c r="RTJ33" s="38"/>
      <c r="RTK33" s="38"/>
      <c r="RTL33" s="38"/>
      <c r="RTM33" s="38"/>
      <c r="RTN33" s="38"/>
      <c r="RTO33" s="38"/>
      <c r="RTP33" s="38"/>
      <c r="RTQ33" s="38"/>
      <c r="RTR33" s="38"/>
      <c r="RTS33" s="38"/>
      <c r="RTT33" s="38"/>
      <c r="RTU33" s="38"/>
      <c r="RTV33" s="38"/>
      <c r="RTW33" s="38"/>
      <c r="RTX33" s="38"/>
      <c r="RTY33" s="38"/>
      <c r="RTZ33" s="38"/>
      <c r="RUA33" s="38"/>
      <c r="RUB33" s="38"/>
      <c r="RUC33" s="38"/>
      <c r="RUD33" s="38"/>
      <c r="RUE33" s="38"/>
      <c r="RUF33" s="38"/>
      <c r="RUG33" s="38"/>
      <c r="RUH33" s="38"/>
      <c r="RUI33" s="38"/>
      <c r="RUJ33" s="38"/>
      <c r="RUK33" s="38"/>
      <c r="RUL33" s="38"/>
      <c r="RUM33" s="38"/>
      <c r="RUN33" s="38"/>
      <c r="RUO33" s="38"/>
      <c r="RUP33" s="38"/>
      <c r="RUQ33" s="38"/>
      <c r="RUR33" s="38"/>
      <c r="RUS33" s="38"/>
      <c r="RUT33" s="38"/>
      <c r="RUU33" s="38"/>
      <c r="RUV33" s="38"/>
      <c r="RUW33" s="38"/>
      <c r="RUX33" s="38"/>
      <c r="RUY33" s="38"/>
      <c r="RUZ33" s="38"/>
      <c r="RVA33" s="38"/>
      <c r="RVB33" s="38"/>
      <c r="RVC33" s="38"/>
      <c r="RVD33" s="38"/>
      <c r="RVE33" s="38"/>
      <c r="RVF33" s="38"/>
      <c r="RVG33" s="38"/>
      <c r="RVH33" s="38"/>
      <c r="RVI33" s="38"/>
      <c r="RVJ33" s="38"/>
      <c r="RVK33" s="38"/>
      <c r="RVL33" s="38"/>
      <c r="RVM33" s="38"/>
      <c r="RVN33" s="38"/>
      <c r="RVO33" s="38"/>
      <c r="RVP33" s="38"/>
      <c r="RVQ33" s="38"/>
      <c r="RVR33" s="38"/>
      <c r="RVS33" s="38"/>
      <c r="RVT33" s="38"/>
      <c r="RVU33" s="38"/>
      <c r="RVV33" s="38"/>
      <c r="RVW33" s="38"/>
      <c r="RVX33" s="38"/>
      <c r="RVY33" s="38"/>
      <c r="RVZ33" s="38"/>
      <c r="RWA33" s="38"/>
      <c r="RWB33" s="38"/>
      <c r="RWC33" s="38"/>
      <c r="RWD33" s="38"/>
      <c r="RWE33" s="38"/>
      <c r="RWF33" s="38"/>
      <c r="RWG33" s="38"/>
      <c r="RWH33" s="38"/>
      <c r="RWI33" s="38"/>
      <c r="RWJ33" s="38"/>
      <c r="RWK33" s="38"/>
      <c r="RWL33" s="38"/>
      <c r="RWM33" s="38"/>
      <c r="RWN33" s="38"/>
      <c r="RWO33" s="38"/>
      <c r="RWP33" s="38"/>
      <c r="RWQ33" s="38"/>
      <c r="RWR33" s="38"/>
      <c r="RWS33" s="38"/>
      <c r="RWT33" s="38"/>
      <c r="RWU33" s="38"/>
      <c r="RWV33" s="38"/>
      <c r="RWW33" s="38"/>
      <c r="RWX33" s="38"/>
      <c r="RWY33" s="38"/>
      <c r="RWZ33" s="38"/>
      <c r="RXA33" s="38"/>
      <c r="RXB33" s="38"/>
      <c r="RXC33" s="38"/>
      <c r="RXD33" s="38"/>
      <c r="RXE33" s="38"/>
      <c r="RXF33" s="38"/>
      <c r="RXG33" s="38"/>
      <c r="RXH33" s="38"/>
      <c r="RXI33" s="38"/>
      <c r="RXJ33" s="38"/>
      <c r="RXK33" s="38"/>
      <c r="RXL33" s="38"/>
      <c r="RXM33" s="38"/>
      <c r="RXN33" s="38"/>
      <c r="RXO33" s="38"/>
      <c r="RXP33" s="38"/>
      <c r="RXQ33" s="38"/>
      <c r="RXR33" s="38"/>
      <c r="RXS33" s="38"/>
      <c r="RXT33" s="38"/>
      <c r="RXU33" s="38"/>
      <c r="RXV33" s="38"/>
      <c r="RXW33" s="38"/>
      <c r="RXX33" s="38"/>
      <c r="RXY33" s="38"/>
      <c r="RXZ33" s="38"/>
      <c r="RYA33" s="38"/>
      <c r="RYB33" s="38"/>
      <c r="RYC33" s="38"/>
      <c r="RYD33" s="38"/>
      <c r="RYE33" s="38"/>
      <c r="RYF33" s="38"/>
      <c r="RYG33" s="38"/>
      <c r="RYH33" s="38"/>
      <c r="RYI33" s="38"/>
      <c r="RYJ33" s="38"/>
      <c r="RYK33" s="38"/>
      <c r="RYL33" s="38"/>
      <c r="RYM33" s="38"/>
      <c r="RYN33" s="38"/>
      <c r="RYO33" s="38"/>
      <c r="RYP33" s="38"/>
      <c r="RYQ33" s="38"/>
      <c r="RYR33" s="38"/>
      <c r="RYS33" s="38"/>
      <c r="RYT33" s="38"/>
      <c r="RYU33" s="38"/>
      <c r="RYV33" s="38"/>
      <c r="RYW33" s="38"/>
      <c r="RYX33" s="38"/>
      <c r="RYY33" s="38"/>
      <c r="RYZ33" s="38"/>
      <c r="RZA33" s="38"/>
      <c r="RZB33" s="38"/>
      <c r="RZC33" s="38"/>
      <c r="RZD33" s="38"/>
      <c r="RZE33" s="38"/>
      <c r="RZF33" s="38"/>
      <c r="RZG33" s="38"/>
      <c r="RZH33" s="38"/>
      <c r="RZI33" s="38"/>
      <c r="RZJ33" s="38"/>
      <c r="RZK33" s="38"/>
      <c r="RZL33" s="38"/>
      <c r="RZM33" s="38"/>
      <c r="RZN33" s="38"/>
      <c r="RZO33" s="38"/>
      <c r="RZP33" s="38"/>
      <c r="RZQ33" s="38"/>
      <c r="RZR33" s="38"/>
      <c r="RZS33" s="38"/>
      <c r="RZT33" s="38"/>
      <c r="RZU33" s="38"/>
      <c r="RZV33" s="38"/>
      <c r="RZW33" s="38"/>
      <c r="RZX33" s="38"/>
      <c r="RZY33" s="38"/>
      <c r="RZZ33" s="38"/>
      <c r="SAA33" s="38"/>
      <c r="SAB33" s="38"/>
      <c r="SAC33" s="38"/>
      <c r="SAD33" s="38"/>
      <c r="SAE33" s="38"/>
      <c r="SAF33" s="38"/>
      <c r="SAG33" s="38"/>
      <c r="SAH33" s="38"/>
      <c r="SAI33" s="38"/>
      <c r="SAJ33" s="38"/>
      <c r="SAK33" s="38"/>
      <c r="SAL33" s="38"/>
      <c r="SAM33" s="38"/>
      <c r="SAN33" s="38"/>
      <c r="SAO33" s="38"/>
      <c r="SAP33" s="38"/>
      <c r="SAQ33" s="38"/>
      <c r="SAR33" s="38"/>
      <c r="SAS33" s="38"/>
      <c r="SAT33" s="38"/>
      <c r="SAU33" s="38"/>
      <c r="SAV33" s="38"/>
      <c r="SAW33" s="38"/>
      <c r="SAX33" s="38"/>
      <c r="SAY33" s="38"/>
      <c r="SAZ33" s="38"/>
      <c r="SBA33" s="38"/>
      <c r="SBB33" s="38"/>
      <c r="SBC33" s="38"/>
      <c r="SBD33" s="38"/>
      <c r="SBE33" s="38"/>
      <c r="SBF33" s="38"/>
      <c r="SBG33" s="38"/>
      <c r="SBH33" s="38"/>
      <c r="SBI33" s="38"/>
      <c r="SBJ33" s="38"/>
      <c r="SBK33" s="38"/>
      <c r="SBL33" s="38"/>
      <c r="SBM33" s="38"/>
      <c r="SBN33" s="38"/>
      <c r="SBO33" s="38"/>
      <c r="SBP33" s="38"/>
      <c r="SBQ33" s="38"/>
      <c r="SBR33" s="38"/>
      <c r="SBS33" s="38"/>
      <c r="SBT33" s="38"/>
      <c r="SBU33" s="38"/>
      <c r="SBV33" s="38"/>
      <c r="SBW33" s="38"/>
      <c r="SBX33" s="38"/>
      <c r="SBY33" s="38"/>
      <c r="SBZ33" s="38"/>
      <c r="SCA33" s="38"/>
      <c r="SCB33" s="38"/>
      <c r="SCC33" s="38"/>
      <c r="SCD33" s="38"/>
      <c r="SCE33" s="38"/>
      <c r="SCF33" s="38"/>
      <c r="SCG33" s="38"/>
      <c r="SCH33" s="38"/>
      <c r="SCI33" s="38"/>
      <c r="SCJ33" s="38"/>
      <c r="SCK33" s="38"/>
      <c r="SCL33" s="38"/>
      <c r="SCM33" s="38"/>
      <c r="SCN33" s="38"/>
      <c r="SCO33" s="38"/>
      <c r="SCP33" s="38"/>
      <c r="SCQ33" s="38"/>
      <c r="SCR33" s="38"/>
      <c r="SCS33" s="38"/>
      <c r="SCT33" s="38"/>
      <c r="SCU33" s="38"/>
      <c r="SCV33" s="38"/>
      <c r="SCW33" s="38"/>
      <c r="SCX33" s="38"/>
      <c r="SCY33" s="38"/>
      <c r="SCZ33" s="38"/>
      <c r="SDA33" s="38"/>
      <c r="SDB33" s="38"/>
      <c r="SDC33" s="38"/>
      <c r="SDD33" s="38"/>
      <c r="SDE33" s="38"/>
      <c r="SDF33" s="38"/>
      <c r="SDG33" s="38"/>
      <c r="SDH33" s="38"/>
      <c r="SDI33" s="38"/>
      <c r="SDJ33" s="38"/>
      <c r="SDK33" s="38"/>
      <c r="SDL33" s="38"/>
      <c r="SDM33" s="38"/>
      <c r="SDN33" s="38"/>
      <c r="SDO33" s="38"/>
      <c r="SDP33" s="38"/>
      <c r="SDQ33" s="38"/>
      <c r="SDR33" s="38"/>
      <c r="SDS33" s="38"/>
      <c r="SDT33" s="38"/>
      <c r="SDU33" s="38"/>
      <c r="SDV33" s="38"/>
      <c r="SDW33" s="38"/>
      <c r="SDX33" s="38"/>
      <c r="SDY33" s="38"/>
      <c r="SDZ33" s="38"/>
      <c r="SEA33" s="38"/>
      <c r="SEB33" s="38"/>
      <c r="SEC33" s="38"/>
      <c r="SED33" s="38"/>
      <c r="SEE33" s="38"/>
      <c r="SEF33" s="38"/>
      <c r="SEG33" s="38"/>
      <c r="SEH33" s="38"/>
      <c r="SEI33" s="38"/>
      <c r="SEJ33" s="38"/>
      <c r="SEK33" s="38"/>
      <c r="SEL33" s="38"/>
      <c r="SEM33" s="38"/>
      <c r="SEN33" s="38"/>
      <c r="SEO33" s="38"/>
      <c r="SEP33" s="38"/>
      <c r="SEQ33" s="38"/>
      <c r="SER33" s="38"/>
      <c r="SES33" s="38"/>
      <c r="SET33" s="38"/>
      <c r="SEU33" s="38"/>
      <c r="SEV33" s="38"/>
      <c r="SEW33" s="38"/>
      <c r="SEX33" s="38"/>
      <c r="SEY33" s="38"/>
      <c r="SEZ33" s="38"/>
      <c r="SFA33" s="38"/>
      <c r="SFB33" s="38"/>
      <c r="SFC33" s="38"/>
      <c r="SFD33" s="38"/>
      <c r="SFE33" s="38"/>
      <c r="SFF33" s="38"/>
      <c r="SFG33" s="38"/>
      <c r="SFH33" s="38"/>
      <c r="SFI33" s="38"/>
      <c r="SFJ33" s="38"/>
      <c r="SFK33" s="38"/>
      <c r="SFL33" s="38"/>
      <c r="SFM33" s="38"/>
      <c r="SFN33" s="38"/>
      <c r="SFO33" s="38"/>
      <c r="SFP33" s="38"/>
      <c r="SFQ33" s="38"/>
      <c r="SFR33" s="38"/>
      <c r="SFS33" s="38"/>
      <c r="SFT33" s="38"/>
      <c r="SFU33" s="38"/>
      <c r="SFV33" s="38"/>
      <c r="SFW33" s="38"/>
      <c r="SFX33" s="38"/>
      <c r="SFY33" s="38"/>
      <c r="SFZ33" s="38"/>
      <c r="SGA33" s="38"/>
      <c r="SGB33" s="38"/>
      <c r="SGC33" s="38"/>
      <c r="SGD33" s="38"/>
      <c r="SGE33" s="38"/>
      <c r="SGF33" s="38"/>
      <c r="SGG33" s="38"/>
      <c r="SGH33" s="38"/>
      <c r="SGI33" s="38"/>
      <c r="SGJ33" s="38"/>
      <c r="SGK33" s="38"/>
      <c r="SGL33" s="38"/>
      <c r="SGM33" s="38"/>
      <c r="SGN33" s="38"/>
      <c r="SGO33" s="38"/>
      <c r="SGP33" s="38"/>
      <c r="SGQ33" s="38"/>
      <c r="SGR33" s="38"/>
      <c r="SGS33" s="38"/>
      <c r="SGT33" s="38"/>
      <c r="SGU33" s="38"/>
      <c r="SGV33" s="38"/>
      <c r="SGW33" s="38"/>
      <c r="SGX33" s="38"/>
      <c r="SGY33" s="38"/>
      <c r="SGZ33" s="38"/>
      <c r="SHA33" s="38"/>
      <c r="SHB33" s="38"/>
      <c r="SHC33" s="38"/>
      <c r="SHD33" s="38"/>
      <c r="SHE33" s="38"/>
      <c r="SHF33" s="38"/>
      <c r="SHG33" s="38"/>
      <c r="SHH33" s="38"/>
      <c r="SHI33" s="38"/>
      <c r="SHJ33" s="38"/>
      <c r="SHK33" s="38"/>
      <c r="SHL33" s="38"/>
      <c r="SHM33" s="38"/>
      <c r="SHN33" s="38"/>
      <c r="SHO33" s="38"/>
      <c r="SHP33" s="38"/>
      <c r="SHQ33" s="38"/>
      <c r="SHR33" s="38"/>
      <c r="SHS33" s="38"/>
      <c r="SHT33" s="38"/>
      <c r="SHU33" s="38"/>
      <c r="SHV33" s="38"/>
      <c r="SHW33" s="38"/>
      <c r="SHX33" s="38"/>
      <c r="SHY33" s="38"/>
      <c r="SHZ33" s="38"/>
      <c r="SIA33" s="38"/>
      <c r="SIB33" s="38"/>
      <c r="SIC33" s="38"/>
      <c r="SID33" s="38"/>
      <c r="SIE33" s="38"/>
      <c r="SIF33" s="38"/>
      <c r="SIG33" s="38"/>
      <c r="SIH33" s="38"/>
      <c r="SII33" s="38"/>
      <c r="SIJ33" s="38"/>
      <c r="SIK33" s="38"/>
      <c r="SIL33" s="38"/>
      <c r="SIM33" s="38"/>
      <c r="SIN33" s="38"/>
      <c r="SIO33" s="38"/>
      <c r="SIP33" s="38"/>
      <c r="SIQ33" s="38"/>
      <c r="SIR33" s="38"/>
      <c r="SIS33" s="38"/>
      <c r="SIT33" s="38"/>
      <c r="SIU33" s="38"/>
      <c r="SIV33" s="38"/>
      <c r="SIW33" s="38"/>
      <c r="SIX33" s="38"/>
      <c r="SIY33" s="38"/>
      <c r="SIZ33" s="38"/>
      <c r="SJA33" s="38"/>
      <c r="SJB33" s="38"/>
      <c r="SJC33" s="38"/>
      <c r="SJD33" s="38"/>
      <c r="SJE33" s="38"/>
      <c r="SJF33" s="38"/>
      <c r="SJG33" s="38"/>
      <c r="SJH33" s="38"/>
      <c r="SJI33" s="38"/>
      <c r="SJJ33" s="38"/>
      <c r="SJK33" s="38"/>
      <c r="SJL33" s="38"/>
      <c r="SJM33" s="38"/>
      <c r="SJN33" s="38"/>
      <c r="SJO33" s="38"/>
      <c r="SJP33" s="38"/>
      <c r="SJQ33" s="38"/>
      <c r="SJR33" s="38"/>
      <c r="SJS33" s="38"/>
      <c r="SJT33" s="38"/>
      <c r="SJU33" s="38"/>
      <c r="SJV33" s="38"/>
      <c r="SJW33" s="38"/>
      <c r="SJX33" s="38"/>
      <c r="SJY33" s="38"/>
      <c r="SJZ33" s="38"/>
      <c r="SKA33" s="38"/>
      <c r="SKB33" s="38"/>
      <c r="SKC33" s="38"/>
      <c r="SKD33" s="38"/>
      <c r="SKE33" s="38"/>
      <c r="SKF33" s="38"/>
      <c r="SKG33" s="38"/>
      <c r="SKH33" s="38"/>
      <c r="SKI33" s="38"/>
      <c r="SKJ33" s="38"/>
      <c r="SKK33" s="38"/>
      <c r="SKL33" s="38"/>
      <c r="SKM33" s="38"/>
      <c r="SKN33" s="38"/>
      <c r="SKO33" s="38"/>
      <c r="SKP33" s="38"/>
      <c r="SKQ33" s="38"/>
      <c r="SKR33" s="38"/>
      <c r="SKS33" s="38"/>
      <c r="SKT33" s="38"/>
      <c r="SKU33" s="38"/>
      <c r="SKV33" s="38"/>
      <c r="SKW33" s="38"/>
      <c r="SKX33" s="38"/>
      <c r="SKY33" s="38"/>
      <c r="SKZ33" s="38"/>
      <c r="SLA33" s="38"/>
      <c r="SLB33" s="38"/>
      <c r="SLC33" s="38"/>
      <c r="SLD33" s="38"/>
      <c r="SLE33" s="38"/>
      <c r="SLF33" s="38"/>
      <c r="SLG33" s="38"/>
      <c r="SLH33" s="38"/>
      <c r="SLI33" s="38"/>
      <c r="SLJ33" s="38"/>
      <c r="SLK33" s="38"/>
      <c r="SLL33" s="38"/>
      <c r="SLM33" s="38"/>
      <c r="SLN33" s="38"/>
      <c r="SLO33" s="38"/>
      <c r="SLP33" s="38"/>
      <c r="SLQ33" s="38"/>
      <c r="SLR33" s="38"/>
      <c r="SLS33" s="38"/>
      <c r="SLT33" s="38"/>
      <c r="SLU33" s="38"/>
      <c r="SLV33" s="38"/>
      <c r="SLW33" s="38"/>
      <c r="SLX33" s="38"/>
      <c r="SLY33" s="38"/>
      <c r="SLZ33" s="38"/>
      <c r="SMA33" s="38"/>
      <c r="SMB33" s="38"/>
      <c r="SMC33" s="38"/>
      <c r="SMD33" s="38"/>
      <c r="SME33" s="38"/>
      <c r="SMF33" s="38"/>
      <c r="SMG33" s="38"/>
      <c r="SMH33" s="38"/>
      <c r="SMI33" s="38"/>
      <c r="SMJ33" s="38"/>
      <c r="SMK33" s="38"/>
      <c r="SML33" s="38"/>
      <c r="SMM33" s="38"/>
      <c r="SMN33" s="38"/>
      <c r="SMO33" s="38"/>
      <c r="SMP33" s="38"/>
      <c r="SMQ33" s="38"/>
      <c r="SMR33" s="38"/>
      <c r="SMS33" s="38"/>
      <c r="SMT33" s="38"/>
      <c r="SMU33" s="38"/>
      <c r="SMV33" s="38"/>
      <c r="SMW33" s="38"/>
      <c r="SMX33" s="38"/>
      <c r="SMY33" s="38"/>
      <c r="SMZ33" s="38"/>
      <c r="SNA33" s="38"/>
      <c r="SNB33" s="38"/>
      <c r="SNC33" s="38"/>
      <c r="SND33" s="38"/>
      <c r="SNE33" s="38"/>
      <c r="SNF33" s="38"/>
      <c r="SNG33" s="38"/>
      <c r="SNH33" s="38"/>
      <c r="SNI33" s="38"/>
      <c r="SNJ33" s="38"/>
      <c r="SNK33" s="38"/>
      <c r="SNL33" s="38"/>
      <c r="SNM33" s="38"/>
      <c r="SNN33" s="38"/>
      <c r="SNO33" s="38"/>
      <c r="SNP33" s="38"/>
      <c r="SNQ33" s="38"/>
      <c r="SNR33" s="38"/>
      <c r="SNS33" s="38"/>
      <c r="SNT33" s="38"/>
      <c r="SNU33" s="38"/>
      <c r="SNV33" s="38"/>
      <c r="SNW33" s="38"/>
      <c r="SNX33" s="38"/>
      <c r="SNY33" s="38"/>
      <c r="SNZ33" s="38"/>
      <c r="SOA33" s="38"/>
      <c r="SOB33" s="38"/>
      <c r="SOC33" s="38"/>
      <c r="SOD33" s="38"/>
      <c r="SOE33" s="38"/>
      <c r="SOF33" s="38"/>
      <c r="SOG33" s="38"/>
      <c r="SOH33" s="38"/>
      <c r="SOI33" s="38"/>
      <c r="SOJ33" s="38"/>
      <c r="SOK33" s="38"/>
      <c r="SOL33" s="38"/>
      <c r="SOM33" s="38"/>
      <c r="SON33" s="38"/>
      <c r="SOO33" s="38"/>
      <c r="SOP33" s="38"/>
      <c r="SOQ33" s="38"/>
      <c r="SOR33" s="38"/>
      <c r="SOS33" s="38"/>
      <c r="SOT33" s="38"/>
      <c r="SOU33" s="38"/>
      <c r="SOV33" s="38"/>
      <c r="SOW33" s="38"/>
      <c r="SOX33" s="38"/>
      <c r="SOY33" s="38"/>
      <c r="SOZ33" s="38"/>
      <c r="SPA33" s="38"/>
      <c r="SPB33" s="38"/>
      <c r="SPC33" s="38"/>
      <c r="SPD33" s="38"/>
      <c r="SPE33" s="38"/>
      <c r="SPF33" s="38"/>
      <c r="SPG33" s="38"/>
      <c r="SPH33" s="38"/>
      <c r="SPI33" s="38"/>
      <c r="SPJ33" s="38"/>
      <c r="SPK33" s="38"/>
      <c r="SPL33" s="38"/>
      <c r="SPM33" s="38"/>
      <c r="SPN33" s="38"/>
      <c r="SPO33" s="38"/>
      <c r="SPP33" s="38"/>
      <c r="SPQ33" s="38"/>
      <c r="SPR33" s="38"/>
      <c r="SPS33" s="38"/>
      <c r="SPT33" s="38"/>
      <c r="SPU33" s="38"/>
      <c r="SPV33" s="38"/>
      <c r="SPW33" s="38"/>
      <c r="SPX33" s="38"/>
      <c r="SPY33" s="38"/>
      <c r="SPZ33" s="38"/>
      <c r="SQA33" s="38"/>
      <c r="SQB33" s="38"/>
      <c r="SQC33" s="38"/>
      <c r="SQD33" s="38"/>
      <c r="SQE33" s="38"/>
      <c r="SQF33" s="38"/>
      <c r="SQG33" s="38"/>
      <c r="SQH33" s="38"/>
      <c r="SQI33" s="38"/>
      <c r="SQJ33" s="38"/>
      <c r="SQK33" s="38"/>
      <c r="SQL33" s="38"/>
      <c r="SQM33" s="38"/>
      <c r="SQN33" s="38"/>
      <c r="SQO33" s="38"/>
      <c r="SQP33" s="38"/>
      <c r="SQQ33" s="38"/>
      <c r="SQR33" s="38"/>
      <c r="SQS33" s="38"/>
      <c r="SQT33" s="38"/>
      <c r="SQU33" s="38"/>
      <c r="SQV33" s="38"/>
      <c r="SQW33" s="38"/>
      <c r="SQX33" s="38"/>
      <c r="SQY33" s="38"/>
      <c r="SQZ33" s="38"/>
      <c r="SRA33" s="38"/>
      <c r="SRB33" s="38"/>
      <c r="SRC33" s="38"/>
      <c r="SRD33" s="38"/>
      <c r="SRE33" s="38"/>
      <c r="SRF33" s="38"/>
      <c r="SRG33" s="38"/>
      <c r="SRH33" s="38"/>
      <c r="SRI33" s="38"/>
      <c r="SRJ33" s="38"/>
      <c r="SRK33" s="38"/>
      <c r="SRL33" s="38"/>
      <c r="SRM33" s="38"/>
      <c r="SRN33" s="38"/>
      <c r="SRO33" s="38"/>
      <c r="SRP33" s="38"/>
      <c r="SRQ33" s="38"/>
      <c r="SRR33" s="38"/>
      <c r="SRS33" s="38"/>
      <c r="SRT33" s="38"/>
      <c r="SRU33" s="38"/>
      <c r="SRV33" s="38"/>
      <c r="SRW33" s="38"/>
      <c r="SRX33" s="38"/>
      <c r="SRY33" s="38"/>
      <c r="SRZ33" s="38"/>
      <c r="SSA33" s="38"/>
      <c r="SSB33" s="38"/>
      <c r="SSC33" s="38"/>
      <c r="SSD33" s="38"/>
      <c r="SSE33" s="38"/>
      <c r="SSF33" s="38"/>
      <c r="SSG33" s="38"/>
      <c r="SSH33" s="38"/>
      <c r="SSI33" s="38"/>
      <c r="SSJ33" s="38"/>
      <c r="SSK33" s="38"/>
      <c r="SSL33" s="38"/>
      <c r="SSM33" s="38"/>
      <c r="SSN33" s="38"/>
      <c r="SSO33" s="38"/>
      <c r="SSP33" s="38"/>
      <c r="SSQ33" s="38"/>
      <c r="SSR33" s="38"/>
      <c r="SSS33" s="38"/>
      <c r="SST33" s="38"/>
      <c r="SSU33" s="38"/>
      <c r="SSV33" s="38"/>
      <c r="SSW33" s="38"/>
      <c r="SSX33" s="38"/>
      <c r="SSY33" s="38"/>
      <c r="SSZ33" s="38"/>
      <c r="STA33" s="38"/>
      <c r="STB33" s="38"/>
      <c r="STC33" s="38"/>
      <c r="STD33" s="38"/>
      <c r="STE33" s="38"/>
      <c r="STF33" s="38"/>
      <c r="STG33" s="38"/>
      <c r="STH33" s="38"/>
      <c r="STI33" s="38"/>
      <c r="STJ33" s="38"/>
      <c r="STK33" s="38"/>
      <c r="STL33" s="38"/>
      <c r="STM33" s="38"/>
      <c r="STN33" s="38"/>
      <c r="STO33" s="38"/>
      <c r="STP33" s="38"/>
      <c r="STQ33" s="38"/>
      <c r="STR33" s="38"/>
      <c r="STS33" s="38"/>
      <c r="STT33" s="38"/>
      <c r="STU33" s="38"/>
      <c r="STV33" s="38"/>
      <c r="STW33" s="38"/>
      <c r="STX33" s="38"/>
      <c r="STY33" s="38"/>
      <c r="STZ33" s="38"/>
      <c r="SUA33" s="38"/>
      <c r="SUB33" s="38"/>
      <c r="SUC33" s="38"/>
      <c r="SUD33" s="38"/>
      <c r="SUE33" s="38"/>
      <c r="SUF33" s="38"/>
      <c r="SUG33" s="38"/>
      <c r="SUH33" s="38"/>
      <c r="SUI33" s="38"/>
      <c r="SUJ33" s="38"/>
      <c r="SUK33" s="38"/>
      <c r="SUL33" s="38"/>
      <c r="SUM33" s="38"/>
      <c r="SUN33" s="38"/>
      <c r="SUO33" s="38"/>
      <c r="SUP33" s="38"/>
      <c r="SUQ33" s="38"/>
      <c r="SUR33" s="38"/>
      <c r="SUS33" s="38"/>
      <c r="SUT33" s="38"/>
      <c r="SUU33" s="38"/>
      <c r="SUV33" s="38"/>
      <c r="SUW33" s="38"/>
      <c r="SUX33" s="38"/>
      <c r="SUY33" s="38"/>
      <c r="SUZ33" s="38"/>
      <c r="SVA33" s="38"/>
      <c r="SVB33" s="38"/>
      <c r="SVC33" s="38"/>
      <c r="SVD33" s="38"/>
      <c r="SVE33" s="38"/>
      <c r="SVF33" s="38"/>
      <c r="SVG33" s="38"/>
      <c r="SVH33" s="38"/>
      <c r="SVI33" s="38"/>
      <c r="SVJ33" s="38"/>
      <c r="SVK33" s="38"/>
      <c r="SVL33" s="38"/>
      <c r="SVM33" s="38"/>
      <c r="SVN33" s="38"/>
      <c r="SVO33" s="38"/>
      <c r="SVP33" s="38"/>
      <c r="SVQ33" s="38"/>
      <c r="SVR33" s="38"/>
      <c r="SVS33" s="38"/>
      <c r="SVT33" s="38"/>
      <c r="SVU33" s="38"/>
      <c r="SVV33" s="38"/>
      <c r="SVW33" s="38"/>
      <c r="SVX33" s="38"/>
      <c r="SVY33" s="38"/>
      <c r="SVZ33" s="38"/>
      <c r="SWA33" s="38"/>
      <c r="SWB33" s="38"/>
      <c r="SWC33" s="38"/>
      <c r="SWD33" s="38"/>
      <c r="SWE33" s="38"/>
      <c r="SWF33" s="38"/>
      <c r="SWG33" s="38"/>
      <c r="SWH33" s="38"/>
      <c r="SWI33" s="38"/>
      <c r="SWJ33" s="38"/>
      <c r="SWK33" s="38"/>
      <c r="SWL33" s="38"/>
      <c r="SWM33" s="38"/>
      <c r="SWN33" s="38"/>
      <c r="SWO33" s="38"/>
      <c r="SWP33" s="38"/>
      <c r="SWQ33" s="38"/>
      <c r="SWR33" s="38"/>
      <c r="SWS33" s="38"/>
      <c r="SWT33" s="38"/>
      <c r="SWU33" s="38"/>
      <c r="SWV33" s="38"/>
      <c r="SWW33" s="38"/>
      <c r="SWX33" s="38"/>
      <c r="SWY33" s="38"/>
      <c r="SWZ33" s="38"/>
      <c r="SXA33" s="38"/>
      <c r="SXB33" s="38"/>
      <c r="SXC33" s="38"/>
      <c r="SXD33" s="38"/>
      <c r="SXE33" s="38"/>
      <c r="SXF33" s="38"/>
      <c r="SXG33" s="38"/>
      <c r="SXH33" s="38"/>
      <c r="SXI33" s="38"/>
      <c r="SXJ33" s="38"/>
      <c r="SXK33" s="38"/>
      <c r="SXL33" s="38"/>
      <c r="SXM33" s="38"/>
      <c r="SXN33" s="38"/>
      <c r="SXO33" s="38"/>
      <c r="SXP33" s="38"/>
      <c r="SXQ33" s="38"/>
      <c r="SXR33" s="38"/>
      <c r="SXS33" s="38"/>
      <c r="SXT33" s="38"/>
      <c r="SXU33" s="38"/>
      <c r="SXV33" s="38"/>
      <c r="SXW33" s="38"/>
      <c r="SXX33" s="38"/>
      <c r="SXY33" s="38"/>
      <c r="SXZ33" s="38"/>
      <c r="SYA33" s="38"/>
      <c r="SYB33" s="38"/>
      <c r="SYC33" s="38"/>
      <c r="SYD33" s="38"/>
      <c r="SYE33" s="38"/>
      <c r="SYF33" s="38"/>
      <c r="SYG33" s="38"/>
      <c r="SYH33" s="38"/>
      <c r="SYI33" s="38"/>
      <c r="SYJ33" s="38"/>
      <c r="SYK33" s="38"/>
      <c r="SYL33" s="38"/>
      <c r="SYM33" s="38"/>
      <c r="SYN33" s="38"/>
      <c r="SYO33" s="38"/>
      <c r="SYP33" s="38"/>
      <c r="SYQ33" s="38"/>
      <c r="SYR33" s="38"/>
      <c r="SYS33" s="38"/>
      <c r="SYT33" s="38"/>
      <c r="SYU33" s="38"/>
      <c r="SYV33" s="38"/>
      <c r="SYW33" s="38"/>
      <c r="SYX33" s="38"/>
      <c r="SYY33" s="38"/>
      <c r="SYZ33" s="38"/>
      <c r="SZA33" s="38"/>
      <c r="SZB33" s="38"/>
      <c r="SZC33" s="38"/>
      <c r="SZD33" s="38"/>
      <c r="SZE33" s="38"/>
      <c r="SZF33" s="38"/>
      <c r="SZG33" s="38"/>
      <c r="SZH33" s="38"/>
      <c r="SZI33" s="38"/>
      <c r="SZJ33" s="38"/>
      <c r="SZK33" s="38"/>
      <c r="SZL33" s="38"/>
      <c r="SZM33" s="38"/>
      <c r="SZN33" s="38"/>
      <c r="SZO33" s="38"/>
      <c r="SZP33" s="38"/>
      <c r="SZQ33" s="38"/>
      <c r="SZR33" s="38"/>
      <c r="SZS33" s="38"/>
      <c r="SZT33" s="38"/>
      <c r="SZU33" s="38"/>
      <c r="SZV33" s="38"/>
      <c r="SZW33" s="38"/>
      <c r="SZX33" s="38"/>
      <c r="SZY33" s="38"/>
      <c r="SZZ33" s="38"/>
      <c r="TAA33" s="38"/>
      <c r="TAB33" s="38"/>
      <c r="TAC33" s="38"/>
      <c r="TAD33" s="38"/>
      <c r="TAE33" s="38"/>
      <c r="TAF33" s="38"/>
      <c r="TAG33" s="38"/>
      <c r="TAH33" s="38"/>
      <c r="TAI33" s="38"/>
      <c r="TAJ33" s="38"/>
      <c r="TAK33" s="38"/>
      <c r="TAL33" s="38"/>
      <c r="TAM33" s="38"/>
      <c r="TAN33" s="38"/>
      <c r="TAO33" s="38"/>
      <c r="TAP33" s="38"/>
      <c r="TAQ33" s="38"/>
      <c r="TAR33" s="38"/>
      <c r="TAS33" s="38"/>
      <c r="TAT33" s="38"/>
      <c r="TAU33" s="38"/>
      <c r="TAV33" s="38"/>
      <c r="TAW33" s="38"/>
      <c r="TAX33" s="38"/>
      <c r="TAY33" s="38"/>
      <c r="TAZ33" s="38"/>
      <c r="TBA33" s="38"/>
      <c r="TBB33" s="38"/>
      <c r="TBC33" s="38"/>
      <c r="TBD33" s="38"/>
      <c r="TBE33" s="38"/>
      <c r="TBF33" s="38"/>
      <c r="TBG33" s="38"/>
      <c r="TBH33" s="38"/>
      <c r="TBI33" s="38"/>
      <c r="TBJ33" s="38"/>
      <c r="TBK33" s="38"/>
      <c r="TBL33" s="38"/>
      <c r="TBM33" s="38"/>
      <c r="TBN33" s="38"/>
      <c r="TBO33" s="38"/>
      <c r="TBP33" s="38"/>
      <c r="TBQ33" s="38"/>
      <c r="TBR33" s="38"/>
      <c r="TBS33" s="38"/>
      <c r="TBT33" s="38"/>
      <c r="TBU33" s="38"/>
      <c r="TBV33" s="38"/>
      <c r="TBW33" s="38"/>
      <c r="TBX33" s="38"/>
      <c r="TBY33" s="38"/>
      <c r="TBZ33" s="38"/>
      <c r="TCA33" s="38"/>
      <c r="TCB33" s="38"/>
      <c r="TCC33" s="38"/>
      <c r="TCD33" s="38"/>
      <c r="TCE33" s="38"/>
      <c r="TCF33" s="38"/>
      <c r="TCG33" s="38"/>
      <c r="TCH33" s="38"/>
      <c r="TCI33" s="38"/>
      <c r="TCJ33" s="38"/>
      <c r="TCK33" s="38"/>
      <c r="TCL33" s="38"/>
      <c r="TCM33" s="38"/>
      <c r="TCN33" s="38"/>
      <c r="TCO33" s="38"/>
      <c r="TCP33" s="38"/>
      <c r="TCQ33" s="38"/>
      <c r="TCR33" s="38"/>
      <c r="TCS33" s="38"/>
      <c r="TCT33" s="38"/>
      <c r="TCU33" s="38"/>
      <c r="TCV33" s="38"/>
      <c r="TCW33" s="38"/>
      <c r="TCX33" s="38"/>
      <c r="TCY33" s="38"/>
      <c r="TCZ33" s="38"/>
      <c r="TDA33" s="38"/>
      <c r="TDB33" s="38"/>
      <c r="TDC33" s="38"/>
      <c r="TDD33" s="38"/>
      <c r="TDE33" s="38"/>
      <c r="TDF33" s="38"/>
      <c r="TDG33" s="38"/>
      <c r="TDH33" s="38"/>
      <c r="TDI33" s="38"/>
      <c r="TDJ33" s="38"/>
      <c r="TDK33" s="38"/>
      <c r="TDL33" s="38"/>
      <c r="TDM33" s="38"/>
      <c r="TDN33" s="38"/>
      <c r="TDO33" s="38"/>
      <c r="TDP33" s="38"/>
      <c r="TDQ33" s="38"/>
      <c r="TDR33" s="38"/>
      <c r="TDS33" s="38"/>
      <c r="TDT33" s="38"/>
      <c r="TDU33" s="38"/>
      <c r="TDV33" s="38"/>
      <c r="TDW33" s="38"/>
      <c r="TDX33" s="38"/>
      <c r="TDY33" s="38"/>
      <c r="TDZ33" s="38"/>
      <c r="TEA33" s="38"/>
      <c r="TEB33" s="38"/>
      <c r="TEC33" s="38"/>
      <c r="TED33" s="38"/>
      <c r="TEE33" s="38"/>
      <c r="TEF33" s="38"/>
      <c r="TEG33" s="38"/>
      <c r="TEH33" s="38"/>
      <c r="TEI33" s="38"/>
      <c r="TEJ33" s="38"/>
      <c r="TEK33" s="38"/>
      <c r="TEL33" s="38"/>
      <c r="TEM33" s="38"/>
      <c r="TEN33" s="38"/>
      <c r="TEO33" s="38"/>
      <c r="TEP33" s="38"/>
      <c r="TEQ33" s="38"/>
      <c r="TER33" s="38"/>
      <c r="TES33" s="38"/>
      <c r="TET33" s="38"/>
      <c r="TEU33" s="38"/>
      <c r="TEV33" s="38"/>
      <c r="TEW33" s="38"/>
      <c r="TEX33" s="38"/>
      <c r="TEY33" s="38"/>
      <c r="TEZ33" s="38"/>
      <c r="TFA33" s="38"/>
      <c r="TFB33" s="38"/>
      <c r="TFC33" s="38"/>
      <c r="TFD33" s="38"/>
      <c r="TFE33" s="38"/>
      <c r="TFF33" s="38"/>
      <c r="TFG33" s="38"/>
      <c r="TFH33" s="38"/>
      <c r="TFI33" s="38"/>
      <c r="TFJ33" s="38"/>
      <c r="TFK33" s="38"/>
      <c r="TFL33" s="38"/>
      <c r="TFM33" s="38"/>
      <c r="TFN33" s="38"/>
      <c r="TFO33" s="38"/>
      <c r="TFP33" s="38"/>
      <c r="TFQ33" s="38"/>
      <c r="TFR33" s="38"/>
      <c r="TFS33" s="38"/>
      <c r="TFT33" s="38"/>
      <c r="TFU33" s="38"/>
      <c r="TFV33" s="38"/>
      <c r="TFW33" s="38"/>
      <c r="TFX33" s="38"/>
      <c r="TFY33" s="38"/>
      <c r="TFZ33" s="38"/>
      <c r="TGA33" s="38"/>
      <c r="TGB33" s="38"/>
      <c r="TGC33" s="38"/>
      <c r="TGD33" s="38"/>
      <c r="TGE33" s="38"/>
      <c r="TGF33" s="38"/>
      <c r="TGG33" s="38"/>
      <c r="TGH33" s="38"/>
      <c r="TGI33" s="38"/>
      <c r="TGJ33" s="38"/>
      <c r="TGK33" s="38"/>
      <c r="TGL33" s="38"/>
      <c r="TGM33" s="38"/>
      <c r="TGN33" s="38"/>
      <c r="TGO33" s="38"/>
      <c r="TGP33" s="38"/>
      <c r="TGQ33" s="38"/>
      <c r="TGR33" s="38"/>
      <c r="TGS33" s="38"/>
      <c r="TGT33" s="38"/>
      <c r="TGU33" s="38"/>
      <c r="TGV33" s="38"/>
      <c r="TGW33" s="38"/>
      <c r="TGX33" s="38"/>
      <c r="TGY33" s="38"/>
      <c r="TGZ33" s="38"/>
      <c r="THA33" s="38"/>
      <c r="THB33" s="38"/>
      <c r="THC33" s="38"/>
      <c r="THD33" s="38"/>
      <c r="THE33" s="38"/>
      <c r="THF33" s="38"/>
      <c r="THG33" s="38"/>
      <c r="THH33" s="38"/>
      <c r="THI33" s="38"/>
      <c r="THJ33" s="38"/>
      <c r="THK33" s="38"/>
      <c r="THL33" s="38"/>
      <c r="THM33" s="38"/>
      <c r="THN33" s="38"/>
      <c r="THO33" s="38"/>
      <c r="THP33" s="38"/>
      <c r="THQ33" s="38"/>
      <c r="THR33" s="38"/>
      <c r="THS33" s="38"/>
      <c r="THT33" s="38"/>
      <c r="THU33" s="38"/>
      <c r="THV33" s="38"/>
      <c r="THW33" s="38"/>
      <c r="THX33" s="38"/>
      <c r="THY33" s="38"/>
      <c r="THZ33" s="38"/>
      <c r="TIA33" s="38"/>
      <c r="TIB33" s="38"/>
      <c r="TIC33" s="38"/>
      <c r="TID33" s="38"/>
      <c r="TIE33" s="38"/>
      <c r="TIF33" s="38"/>
      <c r="TIG33" s="38"/>
      <c r="TIH33" s="38"/>
      <c r="TII33" s="38"/>
      <c r="TIJ33" s="38"/>
      <c r="TIK33" s="38"/>
      <c r="TIL33" s="38"/>
      <c r="TIM33" s="38"/>
      <c r="TIN33" s="38"/>
      <c r="TIO33" s="38"/>
      <c r="TIP33" s="38"/>
      <c r="TIQ33" s="38"/>
      <c r="TIR33" s="38"/>
      <c r="TIS33" s="38"/>
      <c r="TIT33" s="38"/>
      <c r="TIU33" s="38"/>
      <c r="TIV33" s="38"/>
      <c r="TIW33" s="38"/>
      <c r="TIX33" s="38"/>
      <c r="TIY33" s="38"/>
      <c r="TIZ33" s="38"/>
      <c r="TJA33" s="38"/>
      <c r="TJB33" s="38"/>
      <c r="TJC33" s="38"/>
      <c r="TJD33" s="38"/>
      <c r="TJE33" s="38"/>
      <c r="TJF33" s="38"/>
      <c r="TJG33" s="38"/>
      <c r="TJH33" s="38"/>
      <c r="TJI33" s="38"/>
      <c r="TJJ33" s="38"/>
      <c r="TJK33" s="38"/>
      <c r="TJL33" s="38"/>
      <c r="TJM33" s="38"/>
      <c r="TJN33" s="38"/>
      <c r="TJO33" s="38"/>
      <c r="TJP33" s="38"/>
      <c r="TJQ33" s="38"/>
      <c r="TJR33" s="38"/>
      <c r="TJS33" s="38"/>
      <c r="TJT33" s="38"/>
      <c r="TJU33" s="38"/>
      <c r="TJV33" s="38"/>
      <c r="TJW33" s="38"/>
      <c r="TJX33" s="38"/>
      <c r="TJY33" s="38"/>
      <c r="TJZ33" s="38"/>
      <c r="TKA33" s="38"/>
      <c r="TKB33" s="38"/>
      <c r="TKC33" s="38"/>
      <c r="TKD33" s="38"/>
      <c r="TKE33" s="38"/>
      <c r="TKF33" s="38"/>
      <c r="TKG33" s="38"/>
      <c r="TKH33" s="38"/>
      <c r="TKI33" s="38"/>
      <c r="TKJ33" s="38"/>
      <c r="TKK33" s="38"/>
      <c r="TKL33" s="38"/>
      <c r="TKM33" s="38"/>
      <c r="TKN33" s="38"/>
      <c r="TKO33" s="38"/>
      <c r="TKP33" s="38"/>
      <c r="TKQ33" s="38"/>
      <c r="TKR33" s="38"/>
      <c r="TKS33" s="38"/>
      <c r="TKT33" s="38"/>
      <c r="TKU33" s="38"/>
      <c r="TKV33" s="38"/>
      <c r="TKW33" s="38"/>
      <c r="TKX33" s="38"/>
      <c r="TKY33" s="38"/>
      <c r="TKZ33" s="38"/>
      <c r="TLA33" s="38"/>
      <c r="TLB33" s="38"/>
      <c r="TLC33" s="38"/>
      <c r="TLD33" s="38"/>
      <c r="TLE33" s="38"/>
      <c r="TLF33" s="38"/>
      <c r="TLG33" s="38"/>
      <c r="TLH33" s="38"/>
      <c r="TLI33" s="38"/>
      <c r="TLJ33" s="38"/>
      <c r="TLK33" s="38"/>
      <c r="TLL33" s="38"/>
      <c r="TLM33" s="38"/>
      <c r="TLN33" s="38"/>
      <c r="TLO33" s="38"/>
      <c r="TLP33" s="38"/>
      <c r="TLQ33" s="38"/>
      <c r="TLR33" s="38"/>
      <c r="TLS33" s="38"/>
      <c r="TLT33" s="38"/>
      <c r="TLU33" s="38"/>
      <c r="TLV33" s="38"/>
      <c r="TLW33" s="38"/>
      <c r="TLX33" s="38"/>
      <c r="TLY33" s="38"/>
      <c r="TLZ33" s="38"/>
      <c r="TMA33" s="38"/>
      <c r="TMB33" s="38"/>
      <c r="TMC33" s="38"/>
      <c r="TMD33" s="38"/>
      <c r="TME33" s="38"/>
      <c r="TMF33" s="38"/>
      <c r="TMG33" s="38"/>
      <c r="TMH33" s="38"/>
      <c r="TMI33" s="38"/>
      <c r="TMJ33" s="38"/>
      <c r="TMK33" s="38"/>
      <c r="TML33" s="38"/>
      <c r="TMM33" s="38"/>
      <c r="TMN33" s="38"/>
      <c r="TMO33" s="38"/>
      <c r="TMP33" s="38"/>
      <c r="TMQ33" s="38"/>
      <c r="TMR33" s="38"/>
      <c r="TMS33" s="38"/>
      <c r="TMT33" s="38"/>
      <c r="TMU33" s="38"/>
      <c r="TMV33" s="38"/>
      <c r="TMW33" s="38"/>
      <c r="TMX33" s="38"/>
      <c r="TMY33" s="38"/>
      <c r="TMZ33" s="38"/>
      <c r="TNA33" s="38"/>
      <c r="TNB33" s="38"/>
      <c r="TNC33" s="38"/>
      <c r="TND33" s="38"/>
      <c r="TNE33" s="38"/>
      <c r="TNF33" s="38"/>
      <c r="TNG33" s="38"/>
      <c r="TNH33" s="38"/>
      <c r="TNI33" s="38"/>
      <c r="TNJ33" s="38"/>
      <c r="TNK33" s="38"/>
      <c r="TNL33" s="38"/>
      <c r="TNM33" s="38"/>
      <c r="TNN33" s="38"/>
      <c r="TNO33" s="38"/>
      <c r="TNP33" s="38"/>
      <c r="TNQ33" s="38"/>
      <c r="TNR33" s="38"/>
      <c r="TNS33" s="38"/>
      <c r="TNT33" s="38"/>
      <c r="TNU33" s="38"/>
      <c r="TNV33" s="38"/>
      <c r="TNW33" s="38"/>
      <c r="TNX33" s="38"/>
      <c r="TNY33" s="38"/>
      <c r="TNZ33" s="38"/>
      <c r="TOA33" s="38"/>
      <c r="TOB33" s="38"/>
      <c r="TOC33" s="38"/>
      <c r="TOD33" s="38"/>
      <c r="TOE33" s="38"/>
      <c r="TOF33" s="38"/>
      <c r="TOG33" s="38"/>
      <c r="TOH33" s="38"/>
      <c r="TOI33" s="38"/>
      <c r="TOJ33" s="38"/>
      <c r="TOK33" s="38"/>
      <c r="TOL33" s="38"/>
      <c r="TOM33" s="38"/>
      <c r="TON33" s="38"/>
      <c r="TOO33" s="38"/>
      <c r="TOP33" s="38"/>
      <c r="TOQ33" s="38"/>
      <c r="TOR33" s="38"/>
      <c r="TOS33" s="38"/>
      <c r="TOT33" s="38"/>
      <c r="TOU33" s="38"/>
      <c r="TOV33" s="38"/>
      <c r="TOW33" s="38"/>
      <c r="TOX33" s="38"/>
      <c r="TOY33" s="38"/>
      <c r="TOZ33" s="38"/>
      <c r="TPA33" s="38"/>
      <c r="TPB33" s="38"/>
      <c r="TPC33" s="38"/>
      <c r="TPD33" s="38"/>
      <c r="TPE33" s="38"/>
      <c r="TPF33" s="38"/>
      <c r="TPG33" s="38"/>
      <c r="TPH33" s="38"/>
      <c r="TPI33" s="38"/>
      <c r="TPJ33" s="38"/>
      <c r="TPK33" s="38"/>
      <c r="TPL33" s="38"/>
      <c r="TPM33" s="38"/>
      <c r="TPN33" s="38"/>
      <c r="TPO33" s="38"/>
      <c r="TPP33" s="38"/>
      <c r="TPQ33" s="38"/>
      <c r="TPR33" s="38"/>
      <c r="TPS33" s="38"/>
      <c r="TPT33" s="38"/>
      <c r="TPU33" s="38"/>
      <c r="TPV33" s="38"/>
      <c r="TPW33" s="38"/>
      <c r="TPX33" s="38"/>
      <c r="TPY33" s="38"/>
      <c r="TPZ33" s="38"/>
      <c r="TQA33" s="38"/>
      <c r="TQB33" s="38"/>
      <c r="TQC33" s="38"/>
      <c r="TQD33" s="38"/>
      <c r="TQE33" s="38"/>
      <c r="TQF33" s="38"/>
      <c r="TQG33" s="38"/>
      <c r="TQH33" s="38"/>
      <c r="TQI33" s="38"/>
      <c r="TQJ33" s="38"/>
      <c r="TQK33" s="38"/>
      <c r="TQL33" s="38"/>
      <c r="TQM33" s="38"/>
      <c r="TQN33" s="38"/>
      <c r="TQO33" s="38"/>
      <c r="TQP33" s="38"/>
      <c r="TQQ33" s="38"/>
      <c r="TQR33" s="38"/>
      <c r="TQS33" s="38"/>
      <c r="TQT33" s="38"/>
      <c r="TQU33" s="38"/>
      <c r="TQV33" s="38"/>
      <c r="TQW33" s="38"/>
      <c r="TQX33" s="38"/>
      <c r="TQY33" s="38"/>
      <c r="TQZ33" s="38"/>
      <c r="TRA33" s="38"/>
      <c r="TRB33" s="38"/>
      <c r="TRC33" s="38"/>
      <c r="TRD33" s="38"/>
      <c r="TRE33" s="38"/>
      <c r="TRF33" s="38"/>
      <c r="TRG33" s="38"/>
      <c r="TRH33" s="38"/>
      <c r="TRI33" s="38"/>
      <c r="TRJ33" s="38"/>
      <c r="TRK33" s="38"/>
      <c r="TRL33" s="38"/>
      <c r="TRM33" s="38"/>
      <c r="TRN33" s="38"/>
      <c r="TRO33" s="38"/>
      <c r="TRP33" s="38"/>
      <c r="TRQ33" s="38"/>
      <c r="TRR33" s="38"/>
      <c r="TRS33" s="38"/>
      <c r="TRT33" s="38"/>
      <c r="TRU33" s="38"/>
      <c r="TRV33" s="38"/>
      <c r="TRW33" s="38"/>
      <c r="TRX33" s="38"/>
      <c r="TRY33" s="38"/>
      <c r="TRZ33" s="38"/>
      <c r="TSA33" s="38"/>
      <c r="TSB33" s="38"/>
      <c r="TSC33" s="38"/>
      <c r="TSD33" s="38"/>
      <c r="TSE33" s="38"/>
      <c r="TSF33" s="38"/>
      <c r="TSG33" s="38"/>
      <c r="TSH33" s="38"/>
      <c r="TSI33" s="38"/>
      <c r="TSJ33" s="38"/>
      <c r="TSK33" s="38"/>
      <c r="TSL33" s="38"/>
      <c r="TSM33" s="38"/>
      <c r="TSN33" s="38"/>
      <c r="TSO33" s="38"/>
      <c r="TSP33" s="38"/>
      <c r="TSQ33" s="38"/>
      <c r="TSR33" s="38"/>
      <c r="TSS33" s="38"/>
      <c r="TST33" s="38"/>
      <c r="TSU33" s="38"/>
      <c r="TSV33" s="38"/>
      <c r="TSW33" s="38"/>
      <c r="TSX33" s="38"/>
      <c r="TSY33" s="38"/>
      <c r="TSZ33" s="38"/>
      <c r="TTA33" s="38"/>
      <c r="TTB33" s="38"/>
      <c r="TTC33" s="38"/>
      <c r="TTD33" s="38"/>
      <c r="TTE33" s="38"/>
      <c r="TTF33" s="38"/>
      <c r="TTG33" s="38"/>
      <c r="TTH33" s="38"/>
      <c r="TTI33" s="38"/>
      <c r="TTJ33" s="38"/>
      <c r="TTK33" s="38"/>
      <c r="TTL33" s="38"/>
      <c r="TTM33" s="38"/>
      <c r="TTN33" s="38"/>
      <c r="TTO33" s="38"/>
      <c r="TTP33" s="38"/>
      <c r="TTQ33" s="38"/>
      <c r="TTR33" s="38"/>
      <c r="TTS33" s="38"/>
      <c r="TTT33" s="38"/>
      <c r="TTU33" s="38"/>
      <c r="TTV33" s="38"/>
      <c r="TTW33" s="38"/>
      <c r="TTX33" s="38"/>
      <c r="TTY33" s="38"/>
      <c r="TTZ33" s="38"/>
      <c r="TUA33" s="38"/>
      <c r="TUB33" s="38"/>
      <c r="TUC33" s="38"/>
      <c r="TUD33" s="38"/>
      <c r="TUE33" s="38"/>
      <c r="TUF33" s="38"/>
      <c r="TUG33" s="38"/>
      <c r="TUH33" s="38"/>
      <c r="TUI33" s="38"/>
      <c r="TUJ33" s="38"/>
      <c r="TUK33" s="38"/>
      <c r="TUL33" s="38"/>
      <c r="TUM33" s="38"/>
      <c r="TUN33" s="38"/>
      <c r="TUO33" s="38"/>
      <c r="TUP33" s="38"/>
      <c r="TUQ33" s="38"/>
      <c r="TUR33" s="38"/>
      <c r="TUS33" s="38"/>
      <c r="TUT33" s="38"/>
      <c r="TUU33" s="38"/>
      <c r="TUV33" s="38"/>
      <c r="TUW33" s="38"/>
      <c r="TUX33" s="38"/>
      <c r="TUY33" s="38"/>
      <c r="TUZ33" s="38"/>
      <c r="TVA33" s="38"/>
      <c r="TVB33" s="38"/>
      <c r="TVC33" s="38"/>
      <c r="TVD33" s="38"/>
      <c r="TVE33" s="38"/>
      <c r="TVF33" s="38"/>
      <c r="TVG33" s="38"/>
      <c r="TVH33" s="38"/>
      <c r="TVI33" s="38"/>
      <c r="TVJ33" s="38"/>
      <c r="TVK33" s="38"/>
      <c r="TVL33" s="38"/>
      <c r="TVM33" s="38"/>
      <c r="TVN33" s="38"/>
      <c r="TVO33" s="38"/>
      <c r="TVP33" s="38"/>
      <c r="TVQ33" s="38"/>
      <c r="TVR33" s="38"/>
      <c r="TVS33" s="38"/>
      <c r="TVT33" s="38"/>
      <c r="TVU33" s="38"/>
      <c r="TVV33" s="38"/>
      <c r="TVW33" s="38"/>
      <c r="TVX33" s="38"/>
      <c r="TVY33" s="38"/>
      <c r="TVZ33" s="38"/>
      <c r="TWA33" s="38"/>
      <c r="TWB33" s="38"/>
      <c r="TWC33" s="38"/>
      <c r="TWD33" s="38"/>
      <c r="TWE33" s="38"/>
      <c r="TWF33" s="38"/>
      <c r="TWG33" s="38"/>
      <c r="TWH33" s="38"/>
      <c r="TWI33" s="38"/>
      <c r="TWJ33" s="38"/>
      <c r="TWK33" s="38"/>
      <c r="TWL33" s="38"/>
      <c r="TWM33" s="38"/>
      <c r="TWN33" s="38"/>
      <c r="TWO33" s="38"/>
      <c r="TWP33" s="38"/>
      <c r="TWQ33" s="38"/>
      <c r="TWR33" s="38"/>
      <c r="TWS33" s="38"/>
      <c r="TWT33" s="38"/>
      <c r="TWU33" s="38"/>
      <c r="TWV33" s="38"/>
      <c r="TWW33" s="38"/>
      <c r="TWX33" s="38"/>
      <c r="TWY33" s="38"/>
      <c r="TWZ33" s="38"/>
      <c r="TXA33" s="38"/>
      <c r="TXB33" s="38"/>
      <c r="TXC33" s="38"/>
      <c r="TXD33" s="38"/>
      <c r="TXE33" s="38"/>
      <c r="TXF33" s="38"/>
      <c r="TXG33" s="38"/>
      <c r="TXH33" s="38"/>
      <c r="TXI33" s="38"/>
      <c r="TXJ33" s="38"/>
      <c r="TXK33" s="38"/>
      <c r="TXL33" s="38"/>
      <c r="TXM33" s="38"/>
      <c r="TXN33" s="38"/>
      <c r="TXO33" s="38"/>
      <c r="TXP33" s="38"/>
      <c r="TXQ33" s="38"/>
      <c r="TXR33" s="38"/>
      <c r="TXS33" s="38"/>
      <c r="TXT33" s="38"/>
      <c r="TXU33" s="38"/>
      <c r="TXV33" s="38"/>
      <c r="TXW33" s="38"/>
      <c r="TXX33" s="38"/>
      <c r="TXY33" s="38"/>
      <c r="TXZ33" s="38"/>
      <c r="TYA33" s="38"/>
      <c r="TYB33" s="38"/>
      <c r="TYC33" s="38"/>
      <c r="TYD33" s="38"/>
      <c r="TYE33" s="38"/>
      <c r="TYF33" s="38"/>
      <c r="TYG33" s="38"/>
      <c r="TYH33" s="38"/>
      <c r="TYI33" s="38"/>
      <c r="TYJ33" s="38"/>
      <c r="TYK33" s="38"/>
      <c r="TYL33" s="38"/>
      <c r="TYM33" s="38"/>
      <c r="TYN33" s="38"/>
      <c r="TYO33" s="38"/>
      <c r="TYP33" s="38"/>
      <c r="TYQ33" s="38"/>
      <c r="TYR33" s="38"/>
      <c r="TYS33" s="38"/>
      <c r="TYT33" s="38"/>
      <c r="TYU33" s="38"/>
      <c r="TYV33" s="38"/>
      <c r="TYW33" s="38"/>
      <c r="TYX33" s="38"/>
      <c r="TYY33" s="38"/>
      <c r="TYZ33" s="38"/>
      <c r="TZA33" s="38"/>
      <c r="TZB33" s="38"/>
      <c r="TZC33" s="38"/>
      <c r="TZD33" s="38"/>
      <c r="TZE33" s="38"/>
      <c r="TZF33" s="38"/>
      <c r="TZG33" s="38"/>
      <c r="TZH33" s="38"/>
      <c r="TZI33" s="38"/>
      <c r="TZJ33" s="38"/>
      <c r="TZK33" s="38"/>
      <c r="TZL33" s="38"/>
      <c r="TZM33" s="38"/>
      <c r="TZN33" s="38"/>
      <c r="TZO33" s="38"/>
      <c r="TZP33" s="38"/>
      <c r="TZQ33" s="38"/>
      <c r="TZR33" s="38"/>
      <c r="TZS33" s="38"/>
      <c r="TZT33" s="38"/>
      <c r="TZU33" s="38"/>
      <c r="TZV33" s="38"/>
      <c r="TZW33" s="38"/>
      <c r="TZX33" s="38"/>
      <c r="TZY33" s="38"/>
      <c r="TZZ33" s="38"/>
      <c r="UAA33" s="38"/>
      <c r="UAB33" s="38"/>
      <c r="UAC33" s="38"/>
      <c r="UAD33" s="38"/>
      <c r="UAE33" s="38"/>
      <c r="UAF33" s="38"/>
      <c r="UAG33" s="38"/>
      <c r="UAH33" s="38"/>
      <c r="UAI33" s="38"/>
      <c r="UAJ33" s="38"/>
      <c r="UAK33" s="38"/>
      <c r="UAL33" s="38"/>
      <c r="UAM33" s="38"/>
      <c r="UAN33" s="38"/>
      <c r="UAO33" s="38"/>
      <c r="UAP33" s="38"/>
      <c r="UAQ33" s="38"/>
      <c r="UAR33" s="38"/>
      <c r="UAS33" s="38"/>
      <c r="UAT33" s="38"/>
      <c r="UAU33" s="38"/>
      <c r="UAV33" s="38"/>
      <c r="UAW33" s="38"/>
      <c r="UAX33" s="38"/>
      <c r="UAY33" s="38"/>
      <c r="UAZ33" s="38"/>
      <c r="UBA33" s="38"/>
      <c r="UBB33" s="38"/>
      <c r="UBC33" s="38"/>
      <c r="UBD33" s="38"/>
      <c r="UBE33" s="38"/>
      <c r="UBF33" s="38"/>
      <c r="UBG33" s="38"/>
      <c r="UBH33" s="38"/>
      <c r="UBI33" s="38"/>
      <c r="UBJ33" s="38"/>
      <c r="UBK33" s="38"/>
      <c r="UBL33" s="38"/>
      <c r="UBM33" s="38"/>
      <c r="UBN33" s="38"/>
      <c r="UBO33" s="38"/>
      <c r="UBP33" s="38"/>
      <c r="UBQ33" s="38"/>
      <c r="UBR33" s="38"/>
      <c r="UBS33" s="38"/>
      <c r="UBT33" s="38"/>
      <c r="UBU33" s="38"/>
      <c r="UBV33" s="38"/>
      <c r="UBW33" s="38"/>
      <c r="UBX33" s="38"/>
      <c r="UBY33" s="38"/>
      <c r="UBZ33" s="38"/>
      <c r="UCA33" s="38"/>
      <c r="UCB33" s="38"/>
      <c r="UCC33" s="38"/>
      <c r="UCD33" s="38"/>
      <c r="UCE33" s="38"/>
      <c r="UCF33" s="38"/>
      <c r="UCG33" s="38"/>
      <c r="UCH33" s="38"/>
      <c r="UCI33" s="38"/>
      <c r="UCJ33" s="38"/>
      <c r="UCK33" s="38"/>
      <c r="UCL33" s="38"/>
      <c r="UCM33" s="38"/>
      <c r="UCN33" s="38"/>
      <c r="UCO33" s="38"/>
      <c r="UCP33" s="38"/>
      <c r="UCQ33" s="38"/>
      <c r="UCR33" s="38"/>
      <c r="UCS33" s="38"/>
      <c r="UCT33" s="38"/>
      <c r="UCU33" s="38"/>
      <c r="UCV33" s="38"/>
      <c r="UCW33" s="38"/>
      <c r="UCX33" s="38"/>
      <c r="UCY33" s="38"/>
      <c r="UCZ33" s="38"/>
      <c r="UDA33" s="38"/>
      <c r="UDB33" s="38"/>
      <c r="UDC33" s="38"/>
      <c r="UDD33" s="38"/>
      <c r="UDE33" s="38"/>
      <c r="UDF33" s="38"/>
      <c r="UDG33" s="38"/>
      <c r="UDH33" s="38"/>
      <c r="UDI33" s="38"/>
      <c r="UDJ33" s="38"/>
      <c r="UDK33" s="38"/>
      <c r="UDL33" s="38"/>
      <c r="UDM33" s="38"/>
      <c r="UDN33" s="38"/>
      <c r="UDO33" s="38"/>
      <c r="UDP33" s="38"/>
      <c r="UDQ33" s="38"/>
      <c r="UDR33" s="38"/>
      <c r="UDS33" s="38"/>
      <c r="UDT33" s="38"/>
      <c r="UDU33" s="38"/>
      <c r="UDV33" s="38"/>
      <c r="UDW33" s="38"/>
      <c r="UDX33" s="38"/>
      <c r="UDY33" s="38"/>
      <c r="UDZ33" s="38"/>
      <c r="UEA33" s="38"/>
      <c r="UEB33" s="38"/>
      <c r="UEC33" s="38"/>
      <c r="UED33" s="38"/>
      <c r="UEE33" s="38"/>
      <c r="UEF33" s="38"/>
      <c r="UEG33" s="38"/>
      <c r="UEH33" s="38"/>
      <c r="UEI33" s="38"/>
      <c r="UEJ33" s="38"/>
      <c r="UEK33" s="38"/>
      <c r="UEL33" s="38"/>
      <c r="UEM33" s="38"/>
      <c r="UEN33" s="38"/>
      <c r="UEO33" s="38"/>
      <c r="UEP33" s="38"/>
      <c r="UEQ33" s="38"/>
      <c r="UER33" s="38"/>
      <c r="UES33" s="38"/>
      <c r="UET33" s="38"/>
      <c r="UEU33" s="38"/>
      <c r="UEV33" s="38"/>
      <c r="UEW33" s="38"/>
      <c r="UEX33" s="38"/>
      <c r="UEY33" s="38"/>
      <c r="UEZ33" s="38"/>
      <c r="UFA33" s="38"/>
      <c r="UFB33" s="38"/>
      <c r="UFC33" s="38"/>
      <c r="UFD33" s="38"/>
      <c r="UFE33" s="38"/>
      <c r="UFF33" s="38"/>
      <c r="UFG33" s="38"/>
      <c r="UFH33" s="38"/>
      <c r="UFI33" s="38"/>
      <c r="UFJ33" s="38"/>
      <c r="UFK33" s="38"/>
      <c r="UFL33" s="38"/>
      <c r="UFM33" s="38"/>
      <c r="UFN33" s="38"/>
      <c r="UFO33" s="38"/>
      <c r="UFP33" s="38"/>
      <c r="UFQ33" s="38"/>
      <c r="UFR33" s="38"/>
      <c r="UFS33" s="38"/>
      <c r="UFT33" s="38"/>
      <c r="UFU33" s="38"/>
      <c r="UFV33" s="38"/>
      <c r="UFW33" s="38"/>
      <c r="UFX33" s="38"/>
      <c r="UFY33" s="38"/>
      <c r="UFZ33" s="38"/>
      <c r="UGA33" s="38"/>
      <c r="UGB33" s="38"/>
      <c r="UGC33" s="38"/>
      <c r="UGD33" s="38"/>
      <c r="UGE33" s="38"/>
      <c r="UGF33" s="38"/>
      <c r="UGG33" s="38"/>
      <c r="UGH33" s="38"/>
      <c r="UGI33" s="38"/>
      <c r="UGJ33" s="38"/>
      <c r="UGK33" s="38"/>
      <c r="UGL33" s="38"/>
      <c r="UGM33" s="38"/>
      <c r="UGN33" s="38"/>
      <c r="UGO33" s="38"/>
      <c r="UGP33" s="38"/>
      <c r="UGQ33" s="38"/>
      <c r="UGR33" s="38"/>
      <c r="UGS33" s="38"/>
      <c r="UGT33" s="38"/>
      <c r="UGU33" s="38"/>
      <c r="UGV33" s="38"/>
      <c r="UGW33" s="38"/>
      <c r="UGX33" s="38"/>
      <c r="UGY33" s="38"/>
      <c r="UGZ33" s="38"/>
      <c r="UHA33" s="38"/>
      <c r="UHB33" s="38"/>
      <c r="UHC33" s="38"/>
      <c r="UHD33" s="38"/>
      <c r="UHE33" s="38"/>
      <c r="UHF33" s="38"/>
      <c r="UHG33" s="38"/>
      <c r="UHH33" s="38"/>
      <c r="UHI33" s="38"/>
      <c r="UHJ33" s="38"/>
      <c r="UHK33" s="38"/>
      <c r="UHL33" s="38"/>
      <c r="UHM33" s="38"/>
      <c r="UHN33" s="38"/>
      <c r="UHO33" s="38"/>
      <c r="UHP33" s="38"/>
      <c r="UHQ33" s="38"/>
      <c r="UHR33" s="38"/>
      <c r="UHS33" s="38"/>
      <c r="UHT33" s="38"/>
      <c r="UHU33" s="38"/>
      <c r="UHV33" s="38"/>
      <c r="UHW33" s="38"/>
      <c r="UHX33" s="38"/>
      <c r="UHY33" s="38"/>
      <c r="UHZ33" s="38"/>
      <c r="UIA33" s="38"/>
      <c r="UIB33" s="38"/>
      <c r="UIC33" s="38"/>
      <c r="UID33" s="38"/>
      <c r="UIE33" s="38"/>
      <c r="UIF33" s="38"/>
      <c r="UIG33" s="38"/>
      <c r="UIH33" s="38"/>
      <c r="UII33" s="38"/>
      <c r="UIJ33" s="38"/>
      <c r="UIK33" s="38"/>
      <c r="UIL33" s="38"/>
      <c r="UIM33" s="38"/>
      <c r="UIN33" s="38"/>
      <c r="UIO33" s="38"/>
      <c r="UIP33" s="38"/>
      <c r="UIQ33" s="38"/>
      <c r="UIR33" s="38"/>
      <c r="UIS33" s="38"/>
      <c r="UIT33" s="38"/>
      <c r="UIU33" s="38"/>
      <c r="UIV33" s="38"/>
      <c r="UIW33" s="38"/>
      <c r="UIX33" s="38"/>
      <c r="UIY33" s="38"/>
      <c r="UIZ33" s="38"/>
      <c r="UJA33" s="38"/>
      <c r="UJB33" s="38"/>
      <c r="UJC33" s="38"/>
      <c r="UJD33" s="38"/>
      <c r="UJE33" s="38"/>
      <c r="UJF33" s="38"/>
      <c r="UJG33" s="38"/>
      <c r="UJH33" s="38"/>
      <c r="UJI33" s="38"/>
      <c r="UJJ33" s="38"/>
      <c r="UJK33" s="38"/>
      <c r="UJL33" s="38"/>
      <c r="UJM33" s="38"/>
      <c r="UJN33" s="38"/>
      <c r="UJO33" s="38"/>
      <c r="UJP33" s="38"/>
      <c r="UJQ33" s="38"/>
      <c r="UJR33" s="38"/>
      <c r="UJS33" s="38"/>
      <c r="UJT33" s="38"/>
      <c r="UJU33" s="38"/>
      <c r="UJV33" s="38"/>
      <c r="UJW33" s="38"/>
      <c r="UJX33" s="38"/>
      <c r="UJY33" s="38"/>
      <c r="UJZ33" s="38"/>
      <c r="UKA33" s="38"/>
      <c r="UKB33" s="38"/>
      <c r="UKC33" s="38"/>
      <c r="UKD33" s="38"/>
      <c r="UKE33" s="38"/>
      <c r="UKF33" s="38"/>
      <c r="UKG33" s="38"/>
      <c r="UKH33" s="38"/>
      <c r="UKI33" s="38"/>
      <c r="UKJ33" s="38"/>
      <c r="UKK33" s="38"/>
      <c r="UKL33" s="38"/>
      <c r="UKM33" s="38"/>
      <c r="UKN33" s="38"/>
      <c r="UKO33" s="38"/>
      <c r="UKP33" s="38"/>
      <c r="UKQ33" s="38"/>
      <c r="UKR33" s="38"/>
      <c r="UKS33" s="38"/>
      <c r="UKT33" s="38"/>
      <c r="UKU33" s="38"/>
      <c r="UKV33" s="38"/>
      <c r="UKW33" s="38"/>
      <c r="UKX33" s="38"/>
      <c r="UKY33" s="38"/>
      <c r="UKZ33" s="38"/>
      <c r="ULA33" s="38"/>
      <c r="ULB33" s="38"/>
      <c r="ULC33" s="38"/>
      <c r="ULD33" s="38"/>
      <c r="ULE33" s="38"/>
      <c r="ULF33" s="38"/>
      <c r="ULG33" s="38"/>
      <c r="ULH33" s="38"/>
      <c r="ULI33" s="38"/>
      <c r="ULJ33" s="38"/>
      <c r="ULK33" s="38"/>
      <c r="ULL33" s="38"/>
      <c r="ULM33" s="38"/>
      <c r="ULN33" s="38"/>
      <c r="ULO33" s="38"/>
      <c r="ULP33" s="38"/>
      <c r="ULQ33" s="38"/>
      <c r="ULR33" s="38"/>
      <c r="ULS33" s="38"/>
      <c r="ULT33" s="38"/>
      <c r="ULU33" s="38"/>
      <c r="ULV33" s="38"/>
      <c r="ULW33" s="38"/>
      <c r="ULX33" s="38"/>
      <c r="ULY33" s="38"/>
      <c r="ULZ33" s="38"/>
      <c r="UMA33" s="38"/>
      <c r="UMB33" s="38"/>
      <c r="UMC33" s="38"/>
      <c r="UMD33" s="38"/>
      <c r="UME33" s="38"/>
      <c r="UMF33" s="38"/>
      <c r="UMG33" s="38"/>
      <c r="UMH33" s="38"/>
      <c r="UMI33" s="38"/>
      <c r="UMJ33" s="38"/>
      <c r="UMK33" s="38"/>
      <c r="UML33" s="38"/>
      <c r="UMM33" s="38"/>
      <c r="UMN33" s="38"/>
      <c r="UMO33" s="38"/>
      <c r="UMP33" s="38"/>
      <c r="UMQ33" s="38"/>
      <c r="UMR33" s="38"/>
      <c r="UMS33" s="38"/>
      <c r="UMT33" s="38"/>
      <c r="UMU33" s="38"/>
      <c r="UMV33" s="38"/>
      <c r="UMW33" s="38"/>
      <c r="UMX33" s="38"/>
      <c r="UMY33" s="38"/>
      <c r="UMZ33" s="38"/>
      <c r="UNA33" s="38"/>
      <c r="UNB33" s="38"/>
      <c r="UNC33" s="38"/>
      <c r="UND33" s="38"/>
      <c r="UNE33" s="38"/>
      <c r="UNF33" s="38"/>
      <c r="UNG33" s="38"/>
      <c r="UNH33" s="38"/>
      <c r="UNI33" s="38"/>
      <c r="UNJ33" s="38"/>
      <c r="UNK33" s="38"/>
      <c r="UNL33" s="38"/>
      <c r="UNM33" s="38"/>
      <c r="UNN33" s="38"/>
      <c r="UNO33" s="38"/>
      <c r="UNP33" s="38"/>
      <c r="UNQ33" s="38"/>
      <c r="UNR33" s="38"/>
      <c r="UNS33" s="38"/>
      <c r="UNT33" s="38"/>
      <c r="UNU33" s="38"/>
      <c r="UNV33" s="38"/>
      <c r="UNW33" s="38"/>
      <c r="UNX33" s="38"/>
      <c r="UNY33" s="38"/>
      <c r="UNZ33" s="38"/>
      <c r="UOA33" s="38"/>
      <c r="UOB33" s="38"/>
      <c r="UOC33" s="38"/>
      <c r="UOD33" s="38"/>
      <c r="UOE33" s="38"/>
      <c r="UOF33" s="38"/>
      <c r="UOG33" s="38"/>
      <c r="UOH33" s="38"/>
      <c r="UOI33" s="38"/>
      <c r="UOJ33" s="38"/>
      <c r="UOK33" s="38"/>
      <c r="UOL33" s="38"/>
      <c r="UOM33" s="38"/>
      <c r="UON33" s="38"/>
      <c r="UOO33" s="38"/>
      <c r="UOP33" s="38"/>
      <c r="UOQ33" s="38"/>
      <c r="UOR33" s="38"/>
      <c r="UOS33" s="38"/>
      <c r="UOT33" s="38"/>
      <c r="UOU33" s="38"/>
      <c r="UOV33" s="38"/>
      <c r="UOW33" s="38"/>
      <c r="UOX33" s="38"/>
      <c r="UOY33" s="38"/>
      <c r="UOZ33" s="38"/>
      <c r="UPA33" s="38"/>
      <c r="UPB33" s="38"/>
      <c r="UPC33" s="38"/>
      <c r="UPD33" s="38"/>
      <c r="UPE33" s="38"/>
      <c r="UPF33" s="38"/>
      <c r="UPG33" s="38"/>
      <c r="UPH33" s="38"/>
      <c r="UPI33" s="38"/>
      <c r="UPJ33" s="38"/>
      <c r="UPK33" s="38"/>
      <c r="UPL33" s="38"/>
      <c r="UPM33" s="38"/>
      <c r="UPN33" s="38"/>
      <c r="UPO33" s="38"/>
      <c r="UPP33" s="38"/>
      <c r="UPQ33" s="38"/>
      <c r="UPR33" s="38"/>
      <c r="UPS33" s="38"/>
      <c r="UPT33" s="38"/>
      <c r="UPU33" s="38"/>
      <c r="UPV33" s="38"/>
      <c r="UPW33" s="38"/>
      <c r="UPX33" s="38"/>
      <c r="UPY33" s="38"/>
      <c r="UPZ33" s="38"/>
      <c r="UQA33" s="38"/>
      <c r="UQB33" s="38"/>
      <c r="UQC33" s="38"/>
      <c r="UQD33" s="38"/>
      <c r="UQE33" s="38"/>
      <c r="UQF33" s="38"/>
      <c r="UQG33" s="38"/>
      <c r="UQH33" s="38"/>
      <c r="UQI33" s="38"/>
      <c r="UQJ33" s="38"/>
      <c r="UQK33" s="38"/>
      <c r="UQL33" s="38"/>
      <c r="UQM33" s="38"/>
      <c r="UQN33" s="38"/>
      <c r="UQO33" s="38"/>
      <c r="UQP33" s="38"/>
      <c r="UQQ33" s="38"/>
      <c r="UQR33" s="38"/>
      <c r="UQS33" s="38"/>
      <c r="UQT33" s="38"/>
      <c r="UQU33" s="38"/>
      <c r="UQV33" s="38"/>
      <c r="UQW33" s="38"/>
      <c r="UQX33" s="38"/>
      <c r="UQY33" s="38"/>
      <c r="UQZ33" s="38"/>
      <c r="URA33" s="38"/>
      <c r="URB33" s="38"/>
      <c r="URC33" s="38"/>
      <c r="URD33" s="38"/>
      <c r="URE33" s="38"/>
      <c r="URF33" s="38"/>
      <c r="URG33" s="38"/>
      <c r="URH33" s="38"/>
      <c r="URI33" s="38"/>
      <c r="URJ33" s="38"/>
      <c r="URK33" s="38"/>
      <c r="URL33" s="38"/>
      <c r="URM33" s="38"/>
      <c r="URN33" s="38"/>
      <c r="URO33" s="38"/>
      <c r="URP33" s="38"/>
      <c r="URQ33" s="38"/>
      <c r="URR33" s="38"/>
      <c r="URS33" s="38"/>
      <c r="URT33" s="38"/>
      <c r="URU33" s="38"/>
      <c r="URV33" s="38"/>
      <c r="URW33" s="38"/>
      <c r="URX33" s="38"/>
      <c r="URY33" s="38"/>
      <c r="URZ33" s="38"/>
      <c r="USA33" s="38"/>
      <c r="USB33" s="38"/>
      <c r="USC33" s="38"/>
      <c r="USD33" s="38"/>
      <c r="USE33" s="38"/>
      <c r="USF33" s="38"/>
      <c r="USG33" s="38"/>
      <c r="USH33" s="38"/>
      <c r="USI33" s="38"/>
      <c r="USJ33" s="38"/>
      <c r="USK33" s="38"/>
      <c r="USL33" s="38"/>
      <c r="USM33" s="38"/>
      <c r="USN33" s="38"/>
      <c r="USO33" s="38"/>
      <c r="USP33" s="38"/>
      <c r="USQ33" s="38"/>
      <c r="USR33" s="38"/>
      <c r="USS33" s="38"/>
      <c r="UST33" s="38"/>
      <c r="USU33" s="38"/>
      <c r="USV33" s="38"/>
      <c r="USW33" s="38"/>
      <c r="USX33" s="38"/>
      <c r="USY33" s="38"/>
      <c r="USZ33" s="38"/>
      <c r="UTA33" s="38"/>
      <c r="UTB33" s="38"/>
      <c r="UTC33" s="38"/>
      <c r="UTD33" s="38"/>
      <c r="UTE33" s="38"/>
      <c r="UTF33" s="38"/>
      <c r="UTG33" s="38"/>
      <c r="UTH33" s="38"/>
      <c r="UTI33" s="38"/>
      <c r="UTJ33" s="38"/>
      <c r="UTK33" s="38"/>
      <c r="UTL33" s="38"/>
      <c r="UTM33" s="38"/>
      <c r="UTN33" s="38"/>
      <c r="UTO33" s="38"/>
      <c r="UTP33" s="38"/>
      <c r="UTQ33" s="38"/>
      <c r="UTR33" s="38"/>
      <c r="UTS33" s="38"/>
      <c r="UTT33" s="38"/>
      <c r="UTU33" s="38"/>
      <c r="UTV33" s="38"/>
      <c r="UTW33" s="38"/>
      <c r="UTX33" s="38"/>
      <c r="UTY33" s="38"/>
      <c r="UTZ33" s="38"/>
      <c r="UUA33" s="38"/>
      <c r="UUB33" s="38"/>
      <c r="UUC33" s="38"/>
      <c r="UUD33" s="38"/>
      <c r="UUE33" s="38"/>
      <c r="UUF33" s="38"/>
      <c r="UUG33" s="38"/>
      <c r="UUH33" s="38"/>
      <c r="UUI33" s="38"/>
      <c r="UUJ33" s="38"/>
      <c r="UUK33" s="38"/>
      <c r="UUL33" s="38"/>
      <c r="UUM33" s="38"/>
      <c r="UUN33" s="38"/>
      <c r="UUO33" s="38"/>
      <c r="UUP33" s="38"/>
      <c r="UUQ33" s="38"/>
      <c r="UUR33" s="38"/>
      <c r="UUS33" s="38"/>
      <c r="UUT33" s="38"/>
      <c r="UUU33" s="38"/>
      <c r="UUV33" s="38"/>
      <c r="UUW33" s="38"/>
      <c r="UUX33" s="38"/>
      <c r="UUY33" s="38"/>
      <c r="UUZ33" s="38"/>
      <c r="UVA33" s="38"/>
      <c r="UVB33" s="38"/>
      <c r="UVC33" s="38"/>
      <c r="UVD33" s="38"/>
      <c r="UVE33" s="38"/>
      <c r="UVF33" s="38"/>
      <c r="UVG33" s="38"/>
      <c r="UVH33" s="38"/>
      <c r="UVI33" s="38"/>
      <c r="UVJ33" s="38"/>
      <c r="UVK33" s="38"/>
      <c r="UVL33" s="38"/>
      <c r="UVM33" s="38"/>
      <c r="UVN33" s="38"/>
      <c r="UVO33" s="38"/>
      <c r="UVP33" s="38"/>
      <c r="UVQ33" s="38"/>
      <c r="UVR33" s="38"/>
      <c r="UVS33" s="38"/>
      <c r="UVT33" s="38"/>
      <c r="UVU33" s="38"/>
      <c r="UVV33" s="38"/>
      <c r="UVW33" s="38"/>
      <c r="UVX33" s="38"/>
      <c r="UVY33" s="38"/>
      <c r="UVZ33" s="38"/>
      <c r="UWA33" s="38"/>
      <c r="UWB33" s="38"/>
      <c r="UWC33" s="38"/>
      <c r="UWD33" s="38"/>
      <c r="UWE33" s="38"/>
      <c r="UWF33" s="38"/>
      <c r="UWG33" s="38"/>
      <c r="UWH33" s="38"/>
      <c r="UWI33" s="38"/>
      <c r="UWJ33" s="38"/>
      <c r="UWK33" s="38"/>
      <c r="UWL33" s="38"/>
      <c r="UWM33" s="38"/>
      <c r="UWN33" s="38"/>
      <c r="UWO33" s="38"/>
      <c r="UWP33" s="38"/>
      <c r="UWQ33" s="38"/>
      <c r="UWR33" s="38"/>
      <c r="UWS33" s="38"/>
      <c r="UWT33" s="38"/>
      <c r="UWU33" s="38"/>
      <c r="UWV33" s="38"/>
      <c r="UWW33" s="38"/>
      <c r="UWX33" s="38"/>
      <c r="UWY33" s="38"/>
      <c r="UWZ33" s="38"/>
      <c r="UXA33" s="38"/>
      <c r="UXB33" s="38"/>
      <c r="UXC33" s="38"/>
      <c r="UXD33" s="38"/>
      <c r="UXE33" s="38"/>
      <c r="UXF33" s="38"/>
      <c r="UXG33" s="38"/>
      <c r="UXH33" s="38"/>
      <c r="UXI33" s="38"/>
      <c r="UXJ33" s="38"/>
      <c r="UXK33" s="38"/>
      <c r="UXL33" s="38"/>
      <c r="UXM33" s="38"/>
      <c r="UXN33" s="38"/>
      <c r="UXO33" s="38"/>
      <c r="UXP33" s="38"/>
      <c r="UXQ33" s="38"/>
      <c r="UXR33" s="38"/>
      <c r="UXS33" s="38"/>
      <c r="UXT33" s="38"/>
      <c r="UXU33" s="38"/>
      <c r="UXV33" s="38"/>
      <c r="UXW33" s="38"/>
      <c r="UXX33" s="38"/>
      <c r="UXY33" s="38"/>
      <c r="UXZ33" s="38"/>
      <c r="UYA33" s="38"/>
      <c r="UYB33" s="38"/>
      <c r="UYC33" s="38"/>
      <c r="UYD33" s="38"/>
      <c r="UYE33" s="38"/>
      <c r="UYF33" s="38"/>
      <c r="UYG33" s="38"/>
      <c r="UYH33" s="38"/>
      <c r="UYI33" s="38"/>
      <c r="UYJ33" s="38"/>
      <c r="UYK33" s="38"/>
      <c r="UYL33" s="38"/>
      <c r="UYM33" s="38"/>
      <c r="UYN33" s="38"/>
      <c r="UYO33" s="38"/>
      <c r="UYP33" s="38"/>
      <c r="UYQ33" s="38"/>
      <c r="UYR33" s="38"/>
      <c r="UYS33" s="38"/>
      <c r="UYT33" s="38"/>
      <c r="UYU33" s="38"/>
      <c r="UYV33" s="38"/>
      <c r="UYW33" s="38"/>
      <c r="UYX33" s="38"/>
      <c r="UYY33" s="38"/>
      <c r="UYZ33" s="38"/>
      <c r="UZA33" s="38"/>
      <c r="UZB33" s="38"/>
      <c r="UZC33" s="38"/>
      <c r="UZD33" s="38"/>
      <c r="UZE33" s="38"/>
      <c r="UZF33" s="38"/>
      <c r="UZG33" s="38"/>
      <c r="UZH33" s="38"/>
      <c r="UZI33" s="38"/>
      <c r="UZJ33" s="38"/>
      <c r="UZK33" s="38"/>
      <c r="UZL33" s="38"/>
      <c r="UZM33" s="38"/>
      <c r="UZN33" s="38"/>
      <c r="UZO33" s="38"/>
      <c r="UZP33" s="38"/>
      <c r="UZQ33" s="38"/>
      <c r="UZR33" s="38"/>
      <c r="UZS33" s="38"/>
      <c r="UZT33" s="38"/>
      <c r="UZU33" s="38"/>
      <c r="UZV33" s="38"/>
      <c r="UZW33" s="38"/>
      <c r="UZX33" s="38"/>
      <c r="UZY33" s="38"/>
      <c r="UZZ33" s="38"/>
      <c r="VAA33" s="38"/>
      <c r="VAB33" s="38"/>
      <c r="VAC33" s="38"/>
      <c r="VAD33" s="38"/>
      <c r="VAE33" s="38"/>
      <c r="VAF33" s="38"/>
      <c r="VAG33" s="38"/>
      <c r="VAH33" s="38"/>
      <c r="VAI33" s="38"/>
      <c r="VAJ33" s="38"/>
      <c r="VAK33" s="38"/>
      <c r="VAL33" s="38"/>
      <c r="VAM33" s="38"/>
      <c r="VAN33" s="38"/>
      <c r="VAO33" s="38"/>
      <c r="VAP33" s="38"/>
      <c r="VAQ33" s="38"/>
      <c r="VAR33" s="38"/>
      <c r="VAS33" s="38"/>
      <c r="VAT33" s="38"/>
      <c r="VAU33" s="38"/>
      <c r="VAV33" s="38"/>
      <c r="VAW33" s="38"/>
      <c r="VAX33" s="38"/>
      <c r="VAY33" s="38"/>
      <c r="VAZ33" s="38"/>
      <c r="VBA33" s="38"/>
      <c r="VBB33" s="38"/>
      <c r="VBC33" s="38"/>
      <c r="VBD33" s="38"/>
      <c r="VBE33" s="38"/>
      <c r="VBF33" s="38"/>
      <c r="VBG33" s="38"/>
      <c r="VBH33" s="38"/>
      <c r="VBI33" s="38"/>
      <c r="VBJ33" s="38"/>
      <c r="VBK33" s="38"/>
      <c r="VBL33" s="38"/>
      <c r="VBM33" s="38"/>
      <c r="VBN33" s="38"/>
      <c r="VBO33" s="38"/>
      <c r="VBP33" s="38"/>
      <c r="VBQ33" s="38"/>
      <c r="VBR33" s="38"/>
      <c r="VBS33" s="38"/>
      <c r="VBT33" s="38"/>
      <c r="VBU33" s="38"/>
      <c r="VBV33" s="38"/>
      <c r="VBW33" s="38"/>
      <c r="VBX33" s="38"/>
      <c r="VBY33" s="38"/>
      <c r="VBZ33" s="38"/>
      <c r="VCA33" s="38"/>
      <c r="VCB33" s="38"/>
      <c r="VCC33" s="38"/>
      <c r="VCD33" s="38"/>
      <c r="VCE33" s="38"/>
      <c r="VCF33" s="38"/>
      <c r="VCG33" s="38"/>
      <c r="VCH33" s="38"/>
      <c r="VCI33" s="38"/>
      <c r="VCJ33" s="38"/>
      <c r="VCK33" s="38"/>
      <c r="VCL33" s="38"/>
      <c r="VCM33" s="38"/>
      <c r="VCN33" s="38"/>
      <c r="VCO33" s="38"/>
      <c r="VCP33" s="38"/>
      <c r="VCQ33" s="38"/>
      <c r="VCR33" s="38"/>
      <c r="VCS33" s="38"/>
      <c r="VCT33" s="38"/>
      <c r="VCU33" s="38"/>
      <c r="VCV33" s="38"/>
      <c r="VCW33" s="38"/>
      <c r="VCX33" s="38"/>
      <c r="VCY33" s="38"/>
      <c r="VCZ33" s="38"/>
      <c r="VDA33" s="38"/>
      <c r="VDB33" s="38"/>
      <c r="VDC33" s="38"/>
      <c r="VDD33" s="38"/>
      <c r="VDE33" s="38"/>
      <c r="VDF33" s="38"/>
      <c r="VDG33" s="38"/>
      <c r="VDH33" s="38"/>
      <c r="VDI33" s="38"/>
      <c r="VDJ33" s="38"/>
      <c r="VDK33" s="38"/>
      <c r="VDL33" s="38"/>
      <c r="VDM33" s="38"/>
      <c r="VDN33" s="38"/>
      <c r="VDO33" s="38"/>
      <c r="VDP33" s="38"/>
      <c r="VDQ33" s="38"/>
      <c r="VDR33" s="38"/>
      <c r="VDS33" s="38"/>
      <c r="VDT33" s="38"/>
      <c r="VDU33" s="38"/>
      <c r="VDV33" s="38"/>
      <c r="VDW33" s="38"/>
      <c r="VDX33" s="38"/>
      <c r="VDY33" s="38"/>
      <c r="VDZ33" s="38"/>
      <c r="VEA33" s="38"/>
      <c r="VEB33" s="38"/>
      <c r="VEC33" s="38"/>
      <c r="VED33" s="38"/>
      <c r="VEE33" s="38"/>
      <c r="VEF33" s="38"/>
      <c r="VEG33" s="38"/>
      <c r="VEH33" s="38"/>
      <c r="VEI33" s="38"/>
      <c r="VEJ33" s="38"/>
      <c r="VEK33" s="38"/>
      <c r="VEL33" s="38"/>
      <c r="VEM33" s="38"/>
      <c r="VEN33" s="38"/>
      <c r="VEO33" s="38"/>
      <c r="VEP33" s="38"/>
      <c r="VEQ33" s="38"/>
      <c r="VER33" s="38"/>
      <c r="VES33" s="38"/>
      <c r="VET33" s="38"/>
      <c r="VEU33" s="38"/>
      <c r="VEV33" s="38"/>
      <c r="VEW33" s="38"/>
      <c r="VEX33" s="38"/>
      <c r="VEY33" s="38"/>
      <c r="VEZ33" s="38"/>
      <c r="VFA33" s="38"/>
      <c r="VFB33" s="38"/>
      <c r="VFC33" s="38"/>
      <c r="VFD33" s="38"/>
      <c r="VFE33" s="38"/>
      <c r="VFF33" s="38"/>
      <c r="VFG33" s="38"/>
      <c r="VFH33" s="38"/>
      <c r="VFI33" s="38"/>
      <c r="VFJ33" s="38"/>
      <c r="VFK33" s="38"/>
      <c r="VFL33" s="38"/>
      <c r="VFM33" s="38"/>
      <c r="VFN33" s="38"/>
      <c r="VFO33" s="38"/>
      <c r="VFP33" s="38"/>
      <c r="VFQ33" s="38"/>
      <c r="VFR33" s="38"/>
      <c r="VFS33" s="38"/>
      <c r="VFT33" s="38"/>
      <c r="VFU33" s="38"/>
      <c r="VFV33" s="38"/>
      <c r="VFW33" s="38"/>
      <c r="VFX33" s="38"/>
      <c r="VFY33" s="38"/>
      <c r="VFZ33" s="38"/>
      <c r="VGA33" s="38"/>
      <c r="VGB33" s="38"/>
      <c r="VGC33" s="38"/>
      <c r="VGD33" s="38"/>
      <c r="VGE33" s="38"/>
      <c r="VGF33" s="38"/>
      <c r="VGG33" s="38"/>
      <c r="VGH33" s="38"/>
      <c r="VGI33" s="38"/>
      <c r="VGJ33" s="38"/>
      <c r="VGK33" s="38"/>
      <c r="VGL33" s="38"/>
      <c r="VGM33" s="38"/>
      <c r="VGN33" s="38"/>
      <c r="VGO33" s="38"/>
      <c r="VGP33" s="38"/>
      <c r="VGQ33" s="38"/>
      <c r="VGR33" s="38"/>
      <c r="VGS33" s="38"/>
      <c r="VGT33" s="38"/>
      <c r="VGU33" s="38"/>
      <c r="VGV33" s="38"/>
      <c r="VGW33" s="38"/>
      <c r="VGX33" s="38"/>
      <c r="VGY33" s="38"/>
      <c r="VGZ33" s="38"/>
      <c r="VHA33" s="38"/>
      <c r="VHB33" s="38"/>
      <c r="VHC33" s="38"/>
      <c r="VHD33" s="38"/>
      <c r="VHE33" s="38"/>
      <c r="VHF33" s="38"/>
      <c r="VHG33" s="38"/>
      <c r="VHH33" s="38"/>
      <c r="VHI33" s="38"/>
      <c r="VHJ33" s="38"/>
      <c r="VHK33" s="38"/>
      <c r="VHL33" s="38"/>
      <c r="VHM33" s="38"/>
      <c r="VHN33" s="38"/>
      <c r="VHO33" s="38"/>
      <c r="VHP33" s="38"/>
      <c r="VHQ33" s="38"/>
      <c r="VHR33" s="38"/>
      <c r="VHS33" s="38"/>
      <c r="VHT33" s="38"/>
      <c r="VHU33" s="38"/>
      <c r="VHV33" s="38"/>
      <c r="VHW33" s="38"/>
      <c r="VHX33" s="38"/>
      <c r="VHY33" s="38"/>
      <c r="VHZ33" s="38"/>
      <c r="VIA33" s="38"/>
      <c r="VIB33" s="38"/>
      <c r="VIC33" s="38"/>
      <c r="VID33" s="38"/>
      <c r="VIE33" s="38"/>
      <c r="VIF33" s="38"/>
      <c r="VIG33" s="38"/>
      <c r="VIH33" s="38"/>
      <c r="VII33" s="38"/>
      <c r="VIJ33" s="38"/>
      <c r="VIK33" s="38"/>
      <c r="VIL33" s="38"/>
      <c r="VIM33" s="38"/>
      <c r="VIN33" s="38"/>
      <c r="VIO33" s="38"/>
      <c r="VIP33" s="38"/>
      <c r="VIQ33" s="38"/>
      <c r="VIR33" s="38"/>
      <c r="VIS33" s="38"/>
      <c r="VIT33" s="38"/>
      <c r="VIU33" s="38"/>
      <c r="VIV33" s="38"/>
      <c r="VIW33" s="38"/>
      <c r="VIX33" s="38"/>
      <c r="VIY33" s="38"/>
      <c r="VIZ33" s="38"/>
      <c r="VJA33" s="38"/>
      <c r="VJB33" s="38"/>
      <c r="VJC33" s="38"/>
      <c r="VJD33" s="38"/>
      <c r="VJE33" s="38"/>
      <c r="VJF33" s="38"/>
      <c r="VJG33" s="38"/>
      <c r="VJH33" s="38"/>
      <c r="VJI33" s="38"/>
      <c r="VJJ33" s="38"/>
      <c r="VJK33" s="38"/>
      <c r="VJL33" s="38"/>
      <c r="VJM33" s="38"/>
      <c r="VJN33" s="38"/>
      <c r="VJO33" s="38"/>
      <c r="VJP33" s="38"/>
      <c r="VJQ33" s="38"/>
      <c r="VJR33" s="38"/>
      <c r="VJS33" s="38"/>
      <c r="VJT33" s="38"/>
      <c r="VJU33" s="38"/>
      <c r="VJV33" s="38"/>
      <c r="VJW33" s="38"/>
      <c r="VJX33" s="38"/>
      <c r="VJY33" s="38"/>
      <c r="VJZ33" s="38"/>
      <c r="VKA33" s="38"/>
      <c r="VKB33" s="38"/>
      <c r="VKC33" s="38"/>
      <c r="VKD33" s="38"/>
      <c r="VKE33" s="38"/>
      <c r="VKF33" s="38"/>
      <c r="VKG33" s="38"/>
      <c r="VKH33" s="38"/>
      <c r="VKI33" s="38"/>
      <c r="VKJ33" s="38"/>
      <c r="VKK33" s="38"/>
      <c r="VKL33" s="38"/>
      <c r="VKM33" s="38"/>
      <c r="VKN33" s="38"/>
      <c r="VKO33" s="38"/>
      <c r="VKP33" s="38"/>
      <c r="VKQ33" s="38"/>
      <c r="VKR33" s="38"/>
      <c r="VKS33" s="38"/>
      <c r="VKT33" s="38"/>
      <c r="VKU33" s="38"/>
      <c r="VKV33" s="38"/>
      <c r="VKW33" s="38"/>
      <c r="VKX33" s="38"/>
      <c r="VKY33" s="38"/>
      <c r="VKZ33" s="38"/>
      <c r="VLA33" s="38"/>
      <c r="VLB33" s="38"/>
      <c r="VLC33" s="38"/>
      <c r="VLD33" s="38"/>
      <c r="VLE33" s="38"/>
      <c r="VLF33" s="38"/>
      <c r="VLG33" s="38"/>
      <c r="VLH33" s="38"/>
      <c r="VLI33" s="38"/>
      <c r="VLJ33" s="38"/>
      <c r="VLK33" s="38"/>
      <c r="VLL33" s="38"/>
      <c r="VLM33" s="38"/>
      <c r="VLN33" s="38"/>
      <c r="VLO33" s="38"/>
      <c r="VLP33" s="38"/>
      <c r="VLQ33" s="38"/>
      <c r="VLR33" s="38"/>
      <c r="VLS33" s="38"/>
      <c r="VLT33" s="38"/>
      <c r="VLU33" s="38"/>
      <c r="VLV33" s="38"/>
      <c r="VLW33" s="38"/>
      <c r="VLX33" s="38"/>
      <c r="VLY33" s="38"/>
      <c r="VLZ33" s="38"/>
      <c r="VMA33" s="38"/>
      <c r="VMB33" s="38"/>
      <c r="VMC33" s="38"/>
      <c r="VMD33" s="38"/>
      <c r="VME33" s="38"/>
      <c r="VMF33" s="38"/>
      <c r="VMG33" s="38"/>
      <c r="VMH33" s="38"/>
      <c r="VMI33" s="38"/>
      <c r="VMJ33" s="38"/>
      <c r="VMK33" s="38"/>
      <c r="VML33" s="38"/>
      <c r="VMM33" s="38"/>
      <c r="VMN33" s="38"/>
      <c r="VMO33" s="38"/>
      <c r="VMP33" s="38"/>
      <c r="VMQ33" s="38"/>
      <c r="VMR33" s="38"/>
      <c r="VMS33" s="38"/>
      <c r="VMT33" s="38"/>
      <c r="VMU33" s="38"/>
      <c r="VMV33" s="38"/>
      <c r="VMW33" s="38"/>
      <c r="VMX33" s="38"/>
      <c r="VMY33" s="38"/>
      <c r="VMZ33" s="38"/>
      <c r="VNA33" s="38"/>
      <c r="VNB33" s="38"/>
      <c r="VNC33" s="38"/>
      <c r="VND33" s="38"/>
      <c r="VNE33" s="38"/>
      <c r="VNF33" s="38"/>
      <c r="VNG33" s="38"/>
      <c r="VNH33" s="38"/>
      <c r="VNI33" s="38"/>
      <c r="VNJ33" s="38"/>
      <c r="VNK33" s="38"/>
      <c r="VNL33" s="38"/>
      <c r="VNM33" s="38"/>
      <c r="VNN33" s="38"/>
      <c r="VNO33" s="38"/>
      <c r="VNP33" s="38"/>
      <c r="VNQ33" s="38"/>
      <c r="VNR33" s="38"/>
      <c r="VNS33" s="38"/>
      <c r="VNT33" s="38"/>
      <c r="VNU33" s="38"/>
      <c r="VNV33" s="38"/>
      <c r="VNW33" s="38"/>
      <c r="VNX33" s="38"/>
      <c r="VNY33" s="38"/>
      <c r="VNZ33" s="38"/>
      <c r="VOA33" s="38"/>
      <c r="VOB33" s="38"/>
      <c r="VOC33" s="38"/>
      <c r="VOD33" s="38"/>
      <c r="VOE33" s="38"/>
      <c r="VOF33" s="38"/>
      <c r="VOG33" s="38"/>
      <c r="VOH33" s="38"/>
      <c r="VOI33" s="38"/>
      <c r="VOJ33" s="38"/>
      <c r="VOK33" s="38"/>
      <c r="VOL33" s="38"/>
      <c r="VOM33" s="38"/>
      <c r="VON33" s="38"/>
      <c r="VOO33" s="38"/>
      <c r="VOP33" s="38"/>
      <c r="VOQ33" s="38"/>
      <c r="VOR33" s="38"/>
      <c r="VOS33" s="38"/>
      <c r="VOT33" s="38"/>
      <c r="VOU33" s="38"/>
      <c r="VOV33" s="38"/>
      <c r="VOW33" s="38"/>
      <c r="VOX33" s="38"/>
      <c r="VOY33" s="38"/>
      <c r="VOZ33" s="38"/>
      <c r="VPA33" s="38"/>
      <c r="VPB33" s="38"/>
      <c r="VPC33" s="38"/>
      <c r="VPD33" s="38"/>
      <c r="VPE33" s="38"/>
      <c r="VPF33" s="38"/>
      <c r="VPG33" s="38"/>
      <c r="VPH33" s="38"/>
      <c r="VPI33" s="38"/>
      <c r="VPJ33" s="38"/>
      <c r="VPK33" s="38"/>
      <c r="VPL33" s="38"/>
      <c r="VPM33" s="38"/>
      <c r="VPN33" s="38"/>
      <c r="VPO33" s="38"/>
      <c r="VPP33" s="38"/>
      <c r="VPQ33" s="38"/>
      <c r="VPR33" s="38"/>
      <c r="VPS33" s="38"/>
      <c r="VPT33" s="38"/>
      <c r="VPU33" s="38"/>
      <c r="VPV33" s="38"/>
      <c r="VPW33" s="38"/>
      <c r="VPX33" s="38"/>
      <c r="VPY33" s="38"/>
      <c r="VPZ33" s="38"/>
      <c r="VQA33" s="38"/>
      <c r="VQB33" s="38"/>
      <c r="VQC33" s="38"/>
      <c r="VQD33" s="38"/>
      <c r="VQE33" s="38"/>
      <c r="VQF33" s="38"/>
      <c r="VQG33" s="38"/>
      <c r="VQH33" s="38"/>
      <c r="VQI33" s="38"/>
      <c r="VQJ33" s="38"/>
      <c r="VQK33" s="38"/>
      <c r="VQL33" s="38"/>
      <c r="VQM33" s="38"/>
      <c r="VQN33" s="38"/>
      <c r="VQO33" s="38"/>
      <c r="VQP33" s="38"/>
      <c r="VQQ33" s="38"/>
      <c r="VQR33" s="38"/>
      <c r="VQS33" s="38"/>
      <c r="VQT33" s="38"/>
      <c r="VQU33" s="38"/>
      <c r="VQV33" s="38"/>
      <c r="VQW33" s="38"/>
      <c r="VQX33" s="38"/>
      <c r="VQY33" s="38"/>
      <c r="VQZ33" s="38"/>
      <c r="VRA33" s="38"/>
      <c r="VRB33" s="38"/>
      <c r="VRC33" s="38"/>
      <c r="VRD33" s="38"/>
      <c r="VRE33" s="38"/>
      <c r="VRF33" s="38"/>
      <c r="VRG33" s="38"/>
      <c r="VRH33" s="38"/>
      <c r="VRI33" s="38"/>
      <c r="VRJ33" s="38"/>
      <c r="VRK33" s="38"/>
      <c r="VRL33" s="38"/>
      <c r="VRM33" s="38"/>
      <c r="VRN33" s="38"/>
      <c r="VRO33" s="38"/>
      <c r="VRP33" s="38"/>
      <c r="VRQ33" s="38"/>
      <c r="VRR33" s="38"/>
      <c r="VRS33" s="38"/>
      <c r="VRT33" s="38"/>
      <c r="VRU33" s="38"/>
      <c r="VRV33" s="38"/>
      <c r="VRW33" s="38"/>
      <c r="VRX33" s="38"/>
      <c r="VRY33" s="38"/>
      <c r="VRZ33" s="38"/>
      <c r="VSA33" s="38"/>
      <c r="VSB33" s="38"/>
      <c r="VSC33" s="38"/>
      <c r="VSD33" s="38"/>
      <c r="VSE33" s="38"/>
      <c r="VSF33" s="38"/>
      <c r="VSG33" s="38"/>
      <c r="VSH33" s="38"/>
      <c r="VSI33" s="38"/>
      <c r="VSJ33" s="38"/>
      <c r="VSK33" s="38"/>
      <c r="VSL33" s="38"/>
      <c r="VSM33" s="38"/>
      <c r="VSN33" s="38"/>
      <c r="VSO33" s="38"/>
      <c r="VSP33" s="38"/>
      <c r="VSQ33" s="38"/>
      <c r="VSR33" s="38"/>
      <c r="VSS33" s="38"/>
      <c r="VST33" s="38"/>
      <c r="VSU33" s="38"/>
      <c r="VSV33" s="38"/>
      <c r="VSW33" s="38"/>
      <c r="VSX33" s="38"/>
      <c r="VSY33" s="38"/>
      <c r="VSZ33" s="38"/>
      <c r="VTA33" s="38"/>
      <c r="VTB33" s="38"/>
      <c r="VTC33" s="38"/>
      <c r="VTD33" s="38"/>
      <c r="VTE33" s="38"/>
      <c r="VTF33" s="38"/>
      <c r="VTG33" s="38"/>
      <c r="VTH33" s="38"/>
      <c r="VTI33" s="38"/>
      <c r="VTJ33" s="38"/>
      <c r="VTK33" s="38"/>
      <c r="VTL33" s="38"/>
      <c r="VTM33" s="38"/>
      <c r="VTN33" s="38"/>
      <c r="VTO33" s="38"/>
      <c r="VTP33" s="38"/>
      <c r="VTQ33" s="38"/>
      <c r="VTR33" s="38"/>
      <c r="VTS33" s="38"/>
      <c r="VTT33" s="38"/>
      <c r="VTU33" s="38"/>
      <c r="VTV33" s="38"/>
      <c r="VTW33" s="38"/>
      <c r="VTX33" s="38"/>
      <c r="VTY33" s="38"/>
      <c r="VTZ33" s="38"/>
      <c r="VUA33" s="38"/>
      <c r="VUB33" s="38"/>
      <c r="VUC33" s="38"/>
      <c r="VUD33" s="38"/>
      <c r="VUE33" s="38"/>
      <c r="VUF33" s="38"/>
      <c r="VUG33" s="38"/>
      <c r="VUH33" s="38"/>
      <c r="VUI33" s="38"/>
      <c r="VUJ33" s="38"/>
      <c r="VUK33" s="38"/>
      <c r="VUL33" s="38"/>
      <c r="VUM33" s="38"/>
      <c r="VUN33" s="38"/>
      <c r="VUO33" s="38"/>
      <c r="VUP33" s="38"/>
      <c r="VUQ33" s="38"/>
      <c r="VUR33" s="38"/>
      <c r="VUS33" s="38"/>
      <c r="VUT33" s="38"/>
      <c r="VUU33" s="38"/>
      <c r="VUV33" s="38"/>
      <c r="VUW33" s="38"/>
      <c r="VUX33" s="38"/>
      <c r="VUY33" s="38"/>
      <c r="VUZ33" s="38"/>
      <c r="VVA33" s="38"/>
      <c r="VVB33" s="38"/>
      <c r="VVC33" s="38"/>
      <c r="VVD33" s="38"/>
      <c r="VVE33" s="38"/>
      <c r="VVF33" s="38"/>
      <c r="VVG33" s="38"/>
      <c r="VVH33" s="38"/>
      <c r="VVI33" s="38"/>
      <c r="VVJ33" s="38"/>
      <c r="VVK33" s="38"/>
      <c r="VVL33" s="38"/>
      <c r="VVM33" s="38"/>
      <c r="VVN33" s="38"/>
      <c r="VVO33" s="38"/>
      <c r="VVP33" s="38"/>
      <c r="VVQ33" s="38"/>
      <c r="VVR33" s="38"/>
      <c r="VVS33" s="38"/>
      <c r="VVT33" s="38"/>
      <c r="VVU33" s="38"/>
      <c r="VVV33" s="38"/>
      <c r="VVW33" s="38"/>
      <c r="VVX33" s="38"/>
      <c r="VVY33" s="38"/>
      <c r="VVZ33" s="38"/>
      <c r="VWA33" s="38"/>
      <c r="VWB33" s="38"/>
      <c r="VWC33" s="38"/>
      <c r="VWD33" s="38"/>
      <c r="VWE33" s="38"/>
      <c r="VWF33" s="38"/>
      <c r="VWG33" s="38"/>
      <c r="VWH33" s="38"/>
      <c r="VWI33" s="38"/>
      <c r="VWJ33" s="38"/>
      <c r="VWK33" s="38"/>
      <c r="VWL33" s="38"/>
      <c r="VWM33" s="38"/>
      <c r="VWN33" s="38"/>
      <c r="VWO33" s="38"/>
      <c r="VWP33" s="38"/>
      <c r="VWQ33" s="38"/>
      <c r="VWR33" s="38"/>
      <c r="VWS33" s="38"/>
      <c r="VWT33" s="38"/>
      <c r="VWU33" s="38"/>
      <c r="VWV33" s="38"/>
      <c r="VWW33" s="38"/>
      <c r="VWX33" s="38"/>
      <c r="VWY33" s="38"/>
      <c r="VWZ33" s="38"/>
      <c r="VXA33" s="38"/>
      <c r="VXB33" s="38"/>
      <c r="VXC33" s="38"/>
      <c r="VXD33" s="38"/>
      <c r="VXE33" s="38"/>
      <c r="VXF33" s="38"/>
      <c r="VXG33" s="38"/>
      <c r="VXH33" s="38"/>
      <c r="VXI33" s="38"/>
      <c r="VXJ33" s="38"/>
      <c r="VXK33" s="38"/>
      <c r="VXL33" s="38"/>
      <c r="VXM33" s="38"/>
      <c r="VXN33" s="38"/>
      <c r="VXO33" s="38"/>
      <c r="VXP33" s="38"/>
      <c r="VXQ33" s="38"/>
      <c r="VXR33" s="38"/>
      <c r="VXS33" s="38"/>
      <c r="VXT33" s="38"/>
      <c r="VXU33" s="38"/>
      <c r="VXV33" s="38"/>
      <c r="VXW33" s="38"/>
      <c r="VXX33" s="38"/>
      <c r="VXY33" s="38"/>
      <c r="VXZ33" s="38"/>
      <c r="VYA33" s="38"/>
      <c r="VYB33" s="38"/>
      <c r="VYC33" s="38"/>
      <c r="VYD33" s="38"/>
      <c r="VYE33" s="38"/>
      <c r="VYF33" s="38"/>
      <c r="VYG33" s="38"/>
      <c r="VYH33" s="38"/>
      <c r="VYI33" s="38"/>
      <c r="VYJ33" s="38"/>
      <c r="VYK33" s="38"/>
      <c r="VYL33" s="38"/>
      <c r="VYM33" s="38"/>
      <c r="VYN33" s="38"/>
      <c r="VYO33" s="38"/>
      <c r="VYP33" s="38"/>
      <c r="VYQ33" s="38"/>
      <c r="VYR33" s="38"/>
      <c r="VYS33" s="38"/>
      <c r="VYT33" s="38"/>
      <c r="VYU33" s="38"/>
      <c r="VYV33" s="38"/>
      <c r="VYW33" s="38"/>
      <c r="VYX33" s="38"/>
      <c r="VYY33" s="38"/>
      <c r="VYZ33" s="38"/>
      <c r="VZA33" s="38"/>
      <c r="VZB33" s="38"/>
      <c r="VZC33" s="38"/>
      <c r="VZD33" s="38"/>
      <c r="VZE33" s="38"/>
      <c r="VZF33" s="38"/>
      <c r="VZG33" s="38"/>
      <c r="VZH33" s="38"/>
      <c r="VZI33" s="38"/>
      <c r="VZJ33" s="38"/>
      <c r="VZK33" s="38"/>
      <c r="VZL33" s="38"/>
      <c r="VZM33" s="38"/>
      <c r="VZN33" s="38"/>
      <c r="VZO33" s="38"/>
      <c r="VZP33" s="38"/>
      <c r="VZQ33" s="38"/>
      <c r="VZR33" s="38"/>
      <c r="VZS33" s="38"/>
      <c r="VZT33" s="38"/>
      <c r="VZU33" s="38"/>
      <c r="VZV33" s="38"/>
      <c r="VZW33" s="38"/>
      <c r="VZX33" s="38"/>
      <c r="VZY33" s="38"/>
      <c r="VZZ33" s="38"/>
      <c r="WAA33" s="38"/>
      <c r="WAB33" s="38"/>
      <c r="WAC33" s="38"/>
      <c r="WAD33" s="38"/>
      <c r="WAE33" s="38"/>
      <c r="WAF33" s="38"/>
      <c r="WAG33" s="38"/>
      <c r="WAH33" s="38"/>
      <c r="WAI33" s="38"/>
      <c r="WAJ33" s="38"/>
      <c r="WAK33" s="38"/>
      <c r="WAL33" s="38"/>
      <c r="WAM33" s="38"/>
      <c r="WAN33" s="38"/>
      <c r="WAO33" s="38"/>
      <c r="WAP33" s="38"/>
      <c r="WAQ33" s="38"/>
      <c r="WAR33" s="38"/>
      <c r="WAS33" s="38"/>
      <c r="WAT33" s="38"/>
      <c r="WAU33" s="38"/>
      <c r="WAV33" s="38"/>
      <c r="WAW33" s="38"/>
      <c r="WAX33" s="38"/>
      <c r="WAY33" s="38"/>
      <c r="WAZ33" s="38"/>
      <c r="WBA33" s="38"/>
      <c r="WBB33" s="38"/>
      <c r="WBC33" s="38"/>
      <c r="WBD33" s="38"/>
      <c r="WBE33" s="38"/>
      <c r="WBF33" s="38"/>
      <c r="WBG33" s="38"/>
      <c r="WBH33" s="38"/>
      <c r="WBI33" s="38"/>
      <c r="WBJ33" s="38"/>
      <c r="WBK33" s="38"/>
      <c r="WBL33" s="38"/>
      <c r="WBM33" s="38"/>
      <c r="WBN33" s="38"/>
      <c r="WBO33" s="38"/>
      <c r="WBP33" s="38"/>
      <c r="WBQ33" s="38"/>
      <c r="WBR33" s="38"/>
      <c r="WBS33" s="38"/>
      <c r="WBT33" s="38"/>
      <c r="WBU33" s="38"/>
      <c r="WBV33" s="38"/>
      <c r="WBW33" s="38"/>
      <c r="WBX33" s="38"/>
      <c r="WBY33" s="38"/>
      <c r="WBZ33" s="38"/>
      <c r="WCA33" s="38"/>
      <c r="WCB33" s="38"/>
      <c r="WCC33" s="38"/>
      <c r="WCD33" s="38"/>
      <c r="WCE33" s="38"/>
      <c r="WCF33" s="38"/>
      <c r="WCG33" s="38"/>
      <c r="WCH33" s="38"/>
      <c r="WCI33" s="38"/>
      <c r="WCJ33" s="38"/>
      <c r="WCK33" s="38"/>
      <c r="WCL33" s="38"/>
      <c r="WCM33" s="38"/>
      <c r="WCN33" s="38"/>
      <c r="WCO33" s="38"/>
      <c r="WCP33" s="38"/>
      <c r="WCQ33" s="38"/>
      <c r="WCR33" s="38"/>
      <c r="WCS33" s="38"/>
      <c r="WCT33" s="38"/>
      <c r="WCU33" s="38"/>
      <c r="WCV33" s="38"/>
      <c r="WCW33" s="38"/>
      <c r="WCX33" s="38"/>
      <c r="WCY33" s="38"/>
      <c r="WCZ33" s="38"/>
      <c r="WDA33" s="38"/>
      <c r="WDB33" s="38"/>
      <c r="WDC33" s="38"/>
      <c r="WDD33" s="38"/>
      <c r="WDE33" s="38"/>
      <c r="WDF33" s="38"/>
      <c r="WDG33" s="38"/>
      <c r="WDH33" s="38"/>
      <c r="WDI33" s="38"/>
      <c r="WDJ33" s="38"/>
      <c r="WDK33" s="38"/>
      <c r="WDL33" s="38"/>
      <c r="WDM33" s="38"/>
      <c r="WDN33" s="38"/>
      <c r="WDO33" s="38"/>
      <c r="WDP33" s="38"/>
      <c r="WDQ33" s="38"/>
      <c r="WDR33" s="38"/>
      <c r="WDS33" s="38"/>
      <c r="WDT33" s="38"/>
      <c r="WDU33" s="38"/>
      <c r="WDV33" s="38"/>
      <c r="WDW33" s="38"/>
      <c r="WDX33" s="38"/>
      <c r="WDY33" s="38"/>
      <c r="WDZ33" s="38"/>
      <c r="WEA33" s="38"/>
      <c r="WEB33" s="38"/>
      <c r="WEC33" s="38"/>
      <c r="WED33" s="38"/>
      <c r="WEE33" s="38"/>
      <c r="WEF33" s="38"/>
      <c r="WEG33" s="38"/>
      <c r="WEH33" s="38"/>
      <c r="WEI33" s="38"/>
      <c r="WEJ33" s="38"/>
      <c r="WEK33" s="38"/>
      <c r="WEL33" s="38"/>
      <c r="WEM33" s="38"/>
      <c r="WEN33" s="38"/>
      <c r="WEO33" s="38"/>
      <c r="WEP33" s="38"/>
      <c r="WEQ33" s="38"/>
      <c r="WER33" s="38"/>
      <c r="WES33" s="38"/>
      <c r="WET33" s="38"/>
      <c r="WEU33" s="38"/>
      <c r="WEV33" s="38"/>
      <c r="WEW33" s="38"/>
      <c r="WEX33" s="38"/>
      <c r="WEY33" s="38"/>
      <c r="WEZ33" s="38"/>
      <c r="WFA33" s="38"/>
      <c r="WFB33" s="38"/>
      <c r="WFC33" s="38"/>
      <c r="WFD33" s="38"/>
      <c r="WFE33" s="38"/>
      <c r="WFF33" s="38"/>
      <c r="WFG33" s="38"/>
      <c r="WFH33" s="38"/>
      <c r="WFI33" s="38"/>
      <c r="WFJ33" s="38"/>
      <c r="WFK33" s="38"/>
      <c r="WFL33" s="38"/>
      <c r="WFM33" s="38"/>
      <c r="WFN33" s="38"/>
      <c r="WFO33" s="38"/>
      <c r="WFP33" s="38"/>
      <c r="WFQ33" s="38"/>
      <c r="WFR33" s="38"/>
      <c r="WFS33" s="38"/>
      <c r="WFT33" s="38"/>
      <c r="WFU33" s="38"/>
      <c r="WFV33" s="38"/>
      <c r="WFW33" s="38"/>
      <c r="WFX33" s="38"/>
      <c r="WFY33" s="38"/>
      <c r="WFZ33" s="38"/>
      <c r="WGA33" s="38"/>
      <c r="WGB33" s="38"/>
      <c r="WGC33" s="38"/>
      <c r="WGD33" s="38"/>
      <c r="WGE33" s="38"/>
      <c r="WGF33" s="38"/>
      <c r="WGG33" s="38"/>
      <c r="WGH33" s="38"/>
      <c r="WGI33" s="38"/>
      <c r="WGJ33" s="38"/>
      <c r="WGK33" s="38"/>
      <c r="WGL33" s="38"/>
      <c r="WGM33" s="38"/>
      <c r="WGN33" s="38"/>
      <c r="WGO33" s="38"/>
      <c r="WGP33" s="38"/>
      <c r="WGQ33" s="38"/>
      <c r="WGR33" s="38"/>
      <c r="WGS33" s="38"/>
      <c r="WGT33" s="38"/>
      <c r="WGU33" s="38"/>
      <c r="WGV33" s="38"/>
      <c r="WGW33" s="38"/>
      <c r="WGX33" s="38"/>
      <c r="WGY33" s="38"/>
      <c r="WGZ33" s="38"/>
      <c r="WHA33" s="38"/>
      <c r="WHB33" s="38"/>
      <c r="WHC33" s="38"/>
      <c r="WHD33" s="38"/>
      <c r="WHE33" s="38"/>
      <c r="WHF33" s="38"/>
      <c r="WHG33" s="38"/>
      <c r="WHH33" s="38"/>
      <c r="WHI33" s="38"/>
      <c r="WHJ33" s="38"/>
      <c r="WHK33" s="38"/>
      <c r="WHL33" s="38"/>
      <c r="WHM33" s="38"/>
      <c r="WHN33" s="38"/>
      <c r="WHO33" s="38"/>
      <c r="WHP33" s="38"/>
      <c r="WHQ33" s="38"/>
      <c r="WHR33" s="38"/>
      <c r="WHS33" s="38"/>
      <c r="WHT33" s="38"/>
      <c r="WHU33" s="38"/>
      <c r="WHV33" s="38"/>
      <c r="WHW33" s="38"/>
      <c r="WHX33" s="38"/>
      <c r="WHY33" s="38"/>
      <c r="WHZ33" s="38"/>
      <c r="WIA33" s="38"/>
      <c r="WIB33" s="38"/>
      <c r="WIC33" s="38"/>
      <c r="WID33" s="38"/>
      <c r="WIE33" s="38"/>
      <c r="WIF33" s="38"/>
      <c r="WIG33" s="38"/>
      <c r="WIH33" s="38"/>
      <c r="WII33" s="38"/>
      <c r="WIJ33" s="38"/>
      <c r="WIK33" s="38"/>
      <c r="WIL33" s="38"/>
      <c r="WIM33" s="38"/>
      <c r="WIN33" s="38"/>
      <c r="WIO33" s="38"/>
      <c r="WIP33" s="38"/>
      <c r="WIQ33" s="38"/>
      <c r="WIR33" s="38"/>
      <c r="WIS33" s="38"/>
      <c r="WIT33" s="38"/>
      <c r="WIU33" s="38"/>
      <c r="WIV33" s="38"/>
      <c r="WIW33" s="38"/>
      <c r="WIX33" s="38"/>
      <c r="WIY33" s="38"/>
      <c r="WIZ33" s="38"/>
      <c r="WJA33" s="38"/>
      <c r="WJB33" s="38"/>
      <c r="WJC33" s="38"/>
      <c r="WJD33" s="38"/>
      <c r="WJE33" s="38"/>
      <c r="WJF33" s="38"/>
      <c r="WJG33" s="38"/>
      <c r="WJH33" s="38"/>
      <c r="WJI33" s="38"/>
      <c r="WJJ33" s="38"/>
      <c r="WJK33" s="38"/>
      <c r="WJL33" s="38"/>
      <c r="WJM33" s="38"/>
      <c r="WJN33" s="38"/>
      <c r="WJO33" s="38"/>
      <c r="WJP33" s="38"/>
      <c r="WJQ33" s="38"/>
      <c r="WJR33" s="38"/>
      <c r="WJS33" s="38"/>
      <c r="WJT33" s="38"/>
      <c r="WJU33" s="38"/>
      <c r="WJV33" s="38"/>
      <c r="WJW33" s="38"/>
      <c r="WJX33" s="38"/>
      <c r="WJY33" s="38"/>
      <c r="WJZ33" s="38"/>
      <c r="WKA33" s="38"/>
      <c r="WKB33" s="38"/>
      <c r="WKC33" s="38"/>
      <c r="WKD33" s="38"/>
      <c r="WKE33" s="38"/>
      <c r="WKF33" s="38"/>
      <c r="WKG33" s="38"/>
      <c r="WKH33" s="38"/>
      <c r="WKI33" s="38"/>
      <c r="WKJ33" s="38"/>
      <c r="WKK33" s="38"/>
      <c r="WKL33" s="38"/>
      <c r="WKM33" s="38"/>
      <c r="WKN33" s="38"/>
      <c r="WKO33" s="38"/>
      <c r="WKP33" s="38"/>
      <c r="WKQ33" s="38"/>
      <c r="WKR33" s="38"/>
      <c r="WKS33" s="38"/>
      <c r="WKT33" s="38"/>
      <c r="WKU33" s="38"/>
      <c r="WKV33" s="38"/>
      <c r="WKW33" s="38"/>
      <c r="WKX33" s="38"/>
      <c r="WKY33" s="38"/>
      <c r="WKZ33" s="38"/>
      <c r="WLA33" s="38"/>
      <c r="WLB33" s="38"/>
      <c r="WLC33" s="38"/>
      <c r="WLD33" s="38"/>
      <c r="WLE33" s="38"/>
      <c r="WLF33" s="38"/>
      <c r="WLG33" s="38"/>
      <c r="WLH33" s="38"/>
      <c r="WLI33" s="38"/>
      <c r="WLJ33" s="38"/>
      <c r="WLK33" s="38"/>
      <c r="WLL33" s="38"/>
      <c r="WLM33" s="38"/>
      <c r="WLN33" s="38"/>
      <c r="WLO33" s="38"/>
      <c r="WLP33" s="38"/>
      <c r="WLQ33" s="38"/>
      <c r="WLR33" s="38"/>
      <c r="WLS33" s="38"/>
      <c r="WLT33" s="38"/>
      <c r="WLU33" s="38"/>
      <c r="WLV33" s="38"/>
      <c r="WLW33" s="38"/>
      <c r="WLX33" s="38"/>
      <c r="WLY33" s="38"/>
      <c r="WLZ33" s="38"/>
      <c r="WMA33" s="38"/>
      <c r="WMB33" s="38"/>
      <c r="WMC33" s="38"/>
      <c r="WMD33" s="38"/>
      <c r="WME33" s="38"/>
      <c r="WMF33" s="38"/>
      <c r="WMG33" s="38"/>
      <c r="WMH33" s="38"/>
      <c r="WMI33" s="38"/>
      <c r="WMJ33" s="38"/>
      <c r="WMK33" s="38"/>
      <c r="WML33" s="38"/>
      <c r="WMM33" s="38"/>
      <c r="WMN33" s="38"/>
      <c r="WMO33" s="38"/>
      <c r="WMP33" s="38"/>
      <c r="WMQ33" s="38"/>
      <c r="WMR33" s="38"/>
      <c r="WMS33" s="38"/>
      <c r="WMT33" s="38"/>
      <c r="WMU33" s="38"/>
      <c r="WMV33" s="38"/>
      <c r="WMW33" s="38"/>
      <c r="WMX33" s="38"/>
      <c r="WMY33" s="38"/>
      <c r="WMZ33" s="38"/>
      <c r="WNA33" s="38"/>
      <c r="WNB33" s="38"/>
      <c r="WNC33" s="38"/>
      <c r="WND33" s="38"/>
      <c r="WNE33" s="38"/>
      <c r="WNF33" s="38"/>
      <c r="WNG33" s="38"/>
      <c r="WNH33" s="38"/>
      <c r="WNI33" s="38"/>
      <c r="WNJ33" s="38"/>
      <c r="WNK33" s="38"/>
      <c r="WNL33" s="38"/>
      <c r="WNM33" s="38"/>
      <c r="WNN33" s="38"/>
      <c r="WNO33" s="38"/>
      <c r="WNP33" s="38"/>
      <c r="WNQ33" s="38"/>
      <c r="WNR33" s="38"/>
      <c r="WNS33" s="38"/>
      <c r="WNT33" s="38"/>
      <c r="WNU33" s="38"/>
      <c r="WNV33" s="38"/>
      <c r="WNW33" s="38"/>
      <c r="WNX33" s="38"/>
      <c r="WNY33" s="38"/>
      <c r="WNZ33" s="38"/>
      <c r="WOA33" s="38"/>
      <c r="WOB33" s="38"/>
      <c r="WOC33" s="38"/>
      <c r="WOD33" s="38"/>
      <c r="WOE33" s="38"/>
      <c r="WOF33" s="38"/>
      <c r="WOG33" s="38"/>
      <c r="WOH33" s="38"/>
      <c r="WOI33" s="38"/>
      <c r="WOJ33" s="38"/>
      <c r="WOK33" s="38"/>
      <c r="WOL33" s="38"/>
      <c r="WOM33" s="38"/>
      <c r="WON33" s="38"/>
      <c r="WOO33" s="38"/>
      <c r="WOP33" s="38"/>
      <c r="WOQ33" s="38"/>
      <c r="WOR33" s="38"/>
      <c r="WOS33" s="38"/>
      <c r="WOT33" s="38"/>
      <c r="WOU33" s="38"/>
      <c r="WOV33" s="38"/>
      <c r="WOW33" s="38"/>
      <c r="WOX33" s="38"/>
      <c r="WOY33" s="38"/>
      <c r="WOZ33" s="38"/>
      <c r="WPA33" s="38"/>
      <c r="WPB33" s="38"/>
      <c r="WPC33" s="38"/>
      <c r="WPD33" s="38"/>
      <c r="WPE33" s="38"/>
      <c r="WPF33" s="38"/>
      <c r="WPG33" s="38"/>
      <c r="WPH33" s="38"/>
      <c r="WPI33" s="38"/>
      <c r="WPJ33" s="38"/>
      <c r="WPK33" s="38"/>
      <c r="WPL33" s="38"/>
      <c r="WPM33" s="38"/>
      <c r="WPN33" s="38"/>
      <c r="WPO33" s="38"/>
      <c r="WPP33" s="38"/>
      <c r="WPQ33" s="38"/>
      <c r="WPR33" s="38"/>
      <c r="WPS33" s="38"/>
      <c r="WPT33" s="38"/>
      <c r="WPU33" s="38"/>
      <c r="WPV33" s="38"/>
      <c r="WPW33" s="38"/>
      <c r="WPX33" s="38"/>
      <c r="WPY33" s="38"/>
      <c r="WPZ33" s="38"/>
      <c r="WQA33" s="38"/>
      <c r="WQB33" s="38"/>
      <c r="WQC33" s="38"/>
      <c r="WQD33" s="38"/>
      <c r="WQE33" s="38"/>
      <c r="WQF33" s="38"/>
      <c r="WQG33" s="38"/>
      <c r="WQH33" s="38"/>
      <c r="WQI33" s="38"/>
      <c r="WQJ33" s="38"/>
      <c r="WQK33" s="38"/>
      <c r="WQL33" s="38"/>
      <c r="WQM33" s="38"/>
      <c r="WQN33" s="38"/>
      <c r="WQO33" s="38"/>
      <c r="WQP33" s="38"/>
      <c r="WQQ33" s="38"/>
      <c r="WQR33" s="38"/>
      <c r="WQS33" s="38"/>
      <c r="WQT33" s="38"/>
      <c r="WQU33" s="38"/>
      <c r="WQV33" s="38"/>
      <c r="WQW33" s="38"/>
      <c r="WQX33" s="38"/>
      <c r="WQY33" s="38"/>
      <c r="WQZ33" s="38"/>
      <c r="WRA33" s="38"/>
      <c r="WRB33" s="38"/>
      <c r="WRC33" s="38"/>
      <c r="WRD33" s="38"/>
      <c r="WRE33" s="38"/>
      <c r="WRF33" s="38"/>
      <c r="WRG33" s="38"/>
      <c r="WRH33" s="38"/>
      <c r="WRI33" s="38"/>
      <c r="WRJ33" s="38"/>
      <c r="WRK33" s="38"/>
      <c r="WRL33" s="38"/>
      <c r="WRM33" s="38"/>
      <c r="WRN33" s="38"/>
      <c r="WRO33" s="38"/>
      <c r="WRP33" s="38"/>
      <c r="WRQ33" s="38"/>
      <c r="WRR33" s="38"/>
      <c r="WRS33" s="38"/>
      <c r="WRT33" s="38"/>
      <c r="WRU33" s="38"/>
      <c r="WRV33" s="38"/>
      <c r="WRW33" s="38"/>
      <c r="WRX33" s="38"/>
      <c r="WRY33" s="38"/>
      <c r="WRZ33" s="38"/>
      <c r="WSA33" s="38"/>
      <c r="WSB33" s="38"/>
      <c r="WSC33" s="38"/>
      <c r="WSD33" s="38"/>
      <c r="WSE33" s="38"/>
      <c r="WSF33" s="38"/>
      <c r="WSG33" s="38"/>
      <c r="WSH33" s="38"/>
      <c r="WSI33" s="38"/>
      <c r="WSJ33" s="38"/>
      <c r="WSK33" s="38"/>
      <c r="WSL33" s="38"/>
      <c r="WSM33" s="38"/>
      <c r="WSN33" s="38"/>
      <c r="WSO33" s="38"/>
      <c r="WSP33" s="38"/>
      <c r="WSQ33" s="38"/>
      <c r="WSR33" s="38"/>
      <c r="WSS33" s="38"/>
      <c r="WST33" s="38"/>
      <c r="WSU33" s="38"/>
      <c r="WSV33" s="38"/>
      <c r="WSW33" s="38"/>
      <c r="WSX33" s="38"/>
      <c r="WSY33" s="38"/>
      <c r="WSZ33" s="38"/>
      <c r="WTA33" s="38"/>
      <c r="WTB33" s="38"/>
      <c r="WTC33" s="38"/>
      <c r="WTD33" s="38"/>
      <c r="WTE33" s="38"/>
      <c r="WTF33" s="38"/>
      <c r="WTG33" s="38"/>
      <c r="WTH33" s="38"/>
      <c r="WTI33" s="38"/>
      <c r="WTJ33" s="38"/>
      <c r="WTK33" s="38"/>
      <c r="WTL33" s="38"/>
      <c r="WTM33" s="38"/>
      <c r="WTN33" s="38"/>
      <c r="WTO33" s="38"/>
      <c r="WTP33" s="38"/>
      <c r="WTQ33" s="38"/>
      <c r="WTR33" s="38"/>
      <c r="WTS33" s="38"/>
      <c r="WTT33" s="38"/>
      <c r="WTU33" s="38"/>
      <c r="WTV33" s="38"/>
      <c r="WTW33" s="38"/>
      <c r="WTX33" s="38"/>
      <c r="WTY33" s="38"/>
      <c r="WTZ33" s="38"/>
      <c r="WUA33" s="38"/>
      <c r="WUB33" s="38"/>
      <c r="WUC33" s="38"/>
      <c r="WUD33" s="38"/>
      <c r="WUE33" s="38"/>
      <c r="WUF33" s="38"/>
      <c r="WUG33" s="38"/>
      <c r="WUH33" s="38"/>
      <c r="WUI33" s="38"/>
      <c r="WUJ33" s="38"/>
      <c r="WUK33" s="38"/>
      <c r="WUL33" s="38"/>
      <c r="WUM33" s="38"/>
      <c r="WUN33" s="38"/>
      <c r="WUO33" s="38"/>
      <c r="WUP33" s="38"/>
      <c r="WUQ33" s="38"/>
      <c r="WUR33" s="38"/>
      <c r="WUS33" s="38"/>
      <c r="WUT33" s="38"/>
      <c r="WUU33" s="38"/>
      <c r="WUV33" s="38"/>
      <c r="WUW33" s="38"/>
      <c r="WUX33" s="38"/>
      <c r="WUY33" s="38"/>
      <c r="WUZ33" s="38"/>
      <c r="WVA33" s="38"/>
      <c r="WVB33" s="38"/>
      <c r="WVC33" s="38"/>
      <c r="WVD33" s="38"/>
      <c r="WVE33" s="38"/>
      <c r="WVF33" s="38"/>
      <c r="WVG33" s="38"/>
      <c r="WVH33" s="38"/>
      <c r="WVI33" s="38"/>
      <c r="WVJ33" s="38"/>
      <c r="WVK33" s="38"/>
      <c r="WVL33" s="38"/>
      <c r="WVM33" s="38"/>
      <c r="WVN33" s="38"/>
      <c r="WVO33" s="38"/>
      <c r="WVP33" s="38"/>
      <c r="WVQ33" s="38"/>
      <c r="WVR33" s="38"/>
      <c r="WVS33" s="38"/>
      <c r="WVT33" s="38"/>
      <c r="WVU33" s="38"/>
      <c r="WVV33" s="38"/>
      <c r="WVW33" s="38"/>
      <c r="WVX33" s="38"/>
      <c r="WVY33" s="38"/>
      <c r="WVZ33" s="38"/>
      <c r="WWA33" s="38"/>
      <c r="WWB33" s="38"/>
      <c r="WWC33" s="38"/>
      <c r="WWD33" s="38"/>
      <c r="WWE33" s="38"/>
      <c r="WWF33" s="38"/>
      <c r="WWG33" s="38"/>
      <c r="WWH33" s="38"/>
      <c r="WWI33" s="38"/>
      <c r="WWJ33" s="38"/>
      <c r="WWK33" s="38"/>
      <c r="WWL33" s="38"/>
      <c r="WWM33" s="38"/>
      <c r="WWN33" s="38"/>
      <c r="WWO33" s="38"/>
      <c r="WWP33" s="38"/>
      <c r="WWQ33" s="38"/>
      <c r="WWR33" s="38"/>
      <c r="WWS33" s="38"/>
      <c r="WWT33" s="38"/>
      <c r="WWU33" s="38"/>
      <c r="WWV33" s="38"/>
      <c r="WWW33" s="38"/>
      <c r="WWX33" s="38"/>
      <c r="WWY33" s="38"/>
      <c r="WWZ33" s="38"/>
      <c r="WXA33" s="38"/>
      <c r="WXB33" s="38"/>
      <c r="WXC33" s="38"/>
      <c r="WXD33" s="38"/>
      <c r="WXE33" s="38"/>
      <c r="WXF33" s="38"/>
      <c r="WXG33" s="38"/>
      <c r="WXH33" s="38"/>
      <c r="WXI33" s="38"/>
      <c r="WXJ33" s="38"/>
      <c r="WXK33" s="38"/>
      <c r="WXL33" s="38"/>
      <c r="WXM33" s="38"/>
      <c r="WXN33" s="38"/>
      <c r="WXO33" s="38"/>
      <c r="WXP33" s="38"/>
      <c r="WXQ33" s="38"/>
      <c r="WXR33" s="38"/>
      <c r="WXS33" s="38"/>
      <c r="WXT33" s="38"/>
      <c r="WXU33" s="38"/>
      <c r="WXV33" s="38"/>
      <c r="WXW33" s="38"/>
      <c r="WXX33" s="38"/>
      <c r="WXY33" s="38"/>
      <c r="WXZ33" s="38"/>
      <c r="WYA33" s="38"/>
      <c r="WYB33" s="38"/>
      <c r="WYC33" s="38"/>
      <c r="WYD33" s="38"/>
      <c r="WYE33" s="38"/>
      <c r="WYF33" s="38"/>
      <c r="WYG33" s="38"/>
      <c r="WYH33" s="38"/>
      <c r="WYI33" s="38"/>
      <c r="WYJ33" s="38"/>
      <c r="WYK33" s="38"/>
      <c r="WYL33" s="38"/>
      <c r="WYM33" s="38"/>
      <c r="WYN33" s="38"/>
      <c r="WYO33" s="38"/>
      <c r="WYP33" s="38"/>
      <c r="WYQ33" s="38"/>
      <c r="WYR33" s="38"/>
      <c r="WYS33" s="38"/>
      <c r="WYT33" s="38"/>
      <c r="WYU33" s="38"/>
      <c r="WYV33" s="38"/>
      <c r="WYW33" s="38"/>
      <c r="WYX33" s="38"/>
      <c r="WYY33" s="38"/>
      <c r="WYZ33" s="38"/>
      <c r="WZA33" s="38"/>
      <c r="WZB33" s="38"/>
      <c r="WZC33" s="38"/>
      <c r="WZD33" s="38"/>
      <c r="WZE33" s="38"/>
      <c r="WZF33" s="38"/>
      <c r="WZG33" s="38"/>
      <c r="WZH33" s="38"/>
      <c r="WZI33" s="38"/>
      <c r="WZJ33" s="38"/>
      <c r="WZK33" s="38"/>
      <c r="WZL33" s="38"/>
      <c r="WZM33" s="38"/>
      <c r="WZN33" s="38"/>
      <c r="WZO33" s="38"/>
      <c r="WZP33" s="38"/>
      <c r="WZQ33" s="38"/>
      <c r="WZR33" s="38"/>
      <c r="WZS33" s="38"/>
      <c r="WZT33" s="38"/>
      <c r="WZU33" s="38"/>
      <c r="WZV33" s="38"/>
      <c r="WZW33" s="38"/>
      <c r="WZX33" s="38"/>
      <c r="WZY33" s="38"/>
      <c r="WZZ33" s="38"/>
      <c r="XAA33" s="38"/>
      <c r="XAB33" s="38"/>
      <c r="XAC33" s="38"/>
      <c r="XAD33" s="38"/>
      <c r="XAE33" s="38"/>
      <c r="XAF33" s="38"/>
      <c r="XAG33" s="38"/>
      <c r="XAH33" s="38"/>
      <c r="XAI33" s="38"/>
      <c r="XAJ33" s="38"/>
      <c r="XAK33" s="38"/>
      <c r="XAL33" s="38"/>
      <c r="XAM33" s="38"/>
      <c r="XAN33" s="38"/>
      <c r="XAO33" s="38"/>
      <c r="XAP33" s="38"/>
      <c r="XAQ33" s="38"/>
      <c r="XAR33" s="38"/>
      <c r="XAS33" s="38"/>
      <c r="XAT33" s="38"/>
      <c r="XAU33" s="38"/>
      <c r="XAV33" s="38"/>
      <c r="XAW33" s="38"/>
      <c r="XAX33" s="38"/>
      <c r="XAY33" s="38"/>
      <c r="XAZ33" s="38"/>
      <c r="XBA33" s="38"/>
      <c r="XBB33" s="38"/>
      <c r="XBC33" s="38"/>
      <c r="XBD33" s="38"/>
      <c r="XBE33" s="38"/>
      <c r="XBF33" s="38"/>
      <c r="XBG33" s="38"/>
      <c r="XBH33" s="38"/>
      <c r="XBI33" s="38"/>
      <c r="XBJ33" s="38"/>
      <c r="XBK33" s="38"/>
      <c r="XBL33" s="38"/>
      <c r="XBM33" s="38"/>
      <c r="XBN33" s="38"/>
      <c r="XBO33" s="38"/>
      <c r="XBP33" s="38"/>
      <c r="XBQ33" s="38"/>
      <c r="XBR33" s="38"/>
      <c r="XBS33" s="38"/>
      <c r="XBT33" s="38"/>
      <c r="XBU33" s="38"/>
      <c r="XBV33" s="38"/>
      <c r="XBW33" s="38"/>
      <c r="XBX33" s="38"/>
      <c r="XBY33" s="38"/>
      <c r="XBZ33" s="38"/>
      <c r="XCA33" s="38"/>
      <c r="XCB33" s="38"/>
      <c r="XCC33" s="38"/>
      <c r="XCD33" s="38"/>
      <c r="XCE33" s="38"/>
      <c r="XCF33" s="38"/>
      <c r="XCG33" s="38"/>
      <c r="XCH33" s="38"/>
      <c r="XCI33" s="38"/>
      <c r="XCJ33" s="38"/>
      <c r="XCK33" s="38"/>
      <c r="XCL33" s="38"/>
      <c r="XCM33" s="38"/>
      <c r="XCN33" s="38"/>
      <c r="XCO33" s="38"/>
      <c r="XCP33" s="38"/>
      <c r="XCQ33" s="38"/>
      <c r="XCR33" s="38"/>
      <c r="XCS33" s="38"/>
      <c r="XCT33" s="38"/>
      <c r="XCU33" s="38"/>
      <c r="XCV33" s="38"/>
      <c r="XCW33" s="38"/>
      <c r="XCX33" s="38"/>
      <c r="XCY33" s="38"/>
      <c r="XCZ33" s="38"/>
      <c r="XDA33" s="38"/>
      <c r="XDB33" s="38"/>
      <c r="XDC33" s="38"/>
      <c r="XDD33" s="38"/>
      <c r="XDE33" s="38"/>
      <c r="XDF33" s="38"/>
      <c r="XDG33" s="38"/>
      <c r="XDH33" s="38"/>
      <c r="XDI33" s="38"/>
      <c r="XDJ33" s="38"/>
      <c r="XDK33" s="38"/>
      <c r="XDL33" s="38"/>
      <c r="XDM33" s="38"/>
      <c r="XDN33" s="38"/>
      <c r="XDO33" s="38"/>
      <c r="XDP33" s="38"/>
      <c r="XDQ33" s="38"/>
      <c r="XDR33" s="38"/>
      <c r="XDS33" s="38"/>
      <c r="XDT33" s="38"/>
      <c r="XDU33" s="38"/>
      <c r="XDV33" s="38"/>
      <c r="XDW33" s="38"/>
      <c r="XDX33" s="38"/>
      <c r="XDY33" s="38"/>
      <c r="XDZ33" s="38"/>
      <c r="XEA33" s="38"/>
      <c r="XEB33" s="38"/>
      <c r="XEC33" s="38"/>
      <c r="XED33" s="38"/>
      <c r="XEE33" s="38"/>
      <c r="XEF33" s="38"/>
      <c r="XEG33" s="38"/>
      <c r="XEH33" s="38"/>
      <c r="XEI33" s="38"/>
      <c r="XEJ33" s="38"/>
      <c r="XEK33" s="38"/>
      <c r="XEL33" s="38"/>
      <c r="XEM33" s="38"/>
      <c r="XEN33" s="38"/>
      <c r="XEO33" s="38"/>
      <c r="XEP33" s="38"/>
      <c r="XEQ33" s="38"/>
      <c r="XER33" s="38"/>
      <c r="XES33" s="38"/>
      <c r="XET33" s="38"/>
      <c r="XEU33" s="38"/>
      <c r="XEV33" s="38"/>
      <c r="XEW33" s="38"/>
      <c r="XEX33" s="38"/>
    </row>
    <row r="34" spans="1:16378" s="8" customFormat="1" ht="57.75" customHeight="1" x14ac:dyDescent="0.2">
      <c r="A34" s="27">
        <v>1</v>
      </c>
      <c r="B34" s="39" t="s">
        <v>335</v>
      </c>
      <c r="C34" s="40"/>
      <c r="D34" s="40"/>
      <c r="E34" s="41" t="s">
        <v>42</v>
      </c>
      <c r="F34" s="21" t="s">
        <v>29</v>
      </c>
      <c r="G34" s="42"/>
      <c r="H34" s="42"/>
      <c r="I34" s="21">
        <v>2</v>
      </c>
      <c r="J34" s="43"/>
      <c r="K34" s="44" t="s">
        <v>336</v>
      </c>
      <c r="L34" s="23">
        <v>16.384</v>
      </c>
      <c r="M34" s="45">
        <v>566500</v>
      </c>
      <c r="N34" s="46"/>
      <c r="O34" s="46"/>
      <c r="P34" s="46"/>
      <c r="Q34" s="46"/>
      <c r="R34" s="323">
        <v>1207750.47</v>
      </c>
      <c r="S34" s="23">
        <f>R34/L34</f>
        <v>73715.238647460938</v>
      </c>
      <c r="T34" s="47"/>
    </row>
    <row r="35" spans="1:16378" s="8" customFormat="1" ht="57.75" customHeight="1" x14ac:dyDescent="0.2">
      <c r="A35" s="27">
        <f>A34+1</f>
        <v>2</v>
      </c>
      <c r="B35" s="39" t="s">
        <v>43</v>
      </c>
      <c r="C35" s="40"/>
      <c r="D35" s="40"/>
      <c r="E35" s="41" t="s">
        <v>44</v>
      </c>
      <c r="F35" s="48" t="s">
        <v>45</v>
      </c>
      <c r="G35" s="48"/>
      <c r="H35" s="48"/>
      <c r="I35" s="49">
        <v>2</v>
      </c>
      <c r="J35" s="50"/>
      <c r="K35" s="51" t="s">
        <v>40</v>
      </c>
      <c r="L35" s="52"/>
      <c r="M35" s="53"/>
      <c r="N35" s="53"/>
      <c r="O35" s="53">
        <v>550000</v>
      </c>
      <c r="P35" s="53">
        <v>7</v>
      </c>
      <c r="Q35" s="53">
        <v>400000</v>
      </c>
      <c r="R35" s="22">
        <f t="shared" ref="R35:R56" si="15">M35+O35+Q35</f>
        <v>950000</v>
      </c>
      <c r="S35" s="23">
        <f t="shared" ref="S35:S42" si="16">R35/P35</f>
        <v>135714.28571428571</v>
      </c>
      <c r="T35" s="54"/>
    </row>
    <row r="36" spans="1:16378" s="8" customFormat="1" ht="57.75" customHeight="1" x14ac:dyDescent="0.2">
      <c r="A36" s="27">
        <f t="shared" ref="A36:A44" si="17">A35+1</f>
        <v>3</v>
      </c>
      <c r="B36" s="39" t="s">
        <v>46</v>
      </c>
      <c r="C36" s="40"/>
      <c r="D36" s="40"/>
      <c r="E36" s="41" t="s">
        <v>47</v>
      </c>
      <c r="F36" s="42" t="s">
        <v>45</v>
      </c>
      <c r="G36" s="42"/>
      <c r="H36" s="42"/>
      <c r="I36" s="21">
        <v>2</v>
      </c>
      <c r="J36" s="43"/>
      <c r="K36" s="44" t="s">
        <v>59</v>
      </c>
      <c r="L36" s="23"/>
      <c r="M36" s="45"/>
      <c r="N36" s="45"/>
      <c r="O36" s="45"/>
      <c r="P36" s="45"/>
      <c r="Q36" s="45">
        <v>400000</v>
      </c>
      <c r="R36" s="373">
        <v>950000</v>
      </c>
      <c r="S36" s="23">
        <f>R36/7</f>
        <v>135714.28571428571</v>
      </c>
      <c r="T36" s="47"/>
    </row>
    <row r="37" spans="1:16378" s="8" customFormat="1" ht="57.75" customHeight="1" x14ac:dyDescent="0.2">
      <c r="A37" s="27">
        <f t="shared" si="17"/>
        <v>4</v>
      </c>
      <c r="B37" s="39" t="s">
        <v>48</v>
      </c>
      <c r="C37" s="40"/>
      <c r="D37" s="40"/>
      <c r="E37" s="41" t="s">
        <v>44</v>
      </c>
      <c r="F37" s="42" t="s">
        <v>45</v>
      </c>
      <c r="G37" s="42"/>
      <c r="H37" s="42"/>
      <c r="I37" s="21">
        <v>2</v>
      </c>
      <c r="J37" s="43"/>
      <c r="K37" s="44" t="s">
        <v>40</v>
      </c>
      <c r="L37" s="23"/>
      <c r="M37" s="45"/>
      <c r="N37" s="45"/>
      <c r="O37" s="45">
        <v>550000</v>
      </c>
      <c r="P37" s="45">
        <v>8</v>
      </c>
      <c r="Q37" s="45">
        <v>400000</v>
      </c>
      <c r="R37" s="373">
        <f t="shared" si="15"/>
        <v>950000</v>
      </c>
      <c r="S37" s="23">
        <f t="shared" si="16"/>
        <v>118750</v>
      </c>
      <c r="T37" s="47"/>
    </row>
    <row r="38" spans="1:16378" s="8" customFormat="1" ht="57.75" customHeight="1" x14ac:dyDescent="0.2">
      <c r="A38" s="27">
        <f t="shared" si="17"/>
        <v>5</v>
      </c>
      <c r="B38" s="39" t="s">
        <v>49</v>
      </c>
      <c r="C38" s="40"/>
      <c r="D38" s="40"/>
      <c r="E38" s="41" t="s">
        <v>50</v>
      </c>
      <c r="F38" s="21" t="s">
        <v>29</v>
      </c>
      <c r="G38" s="48"/>
      <c r="H38" s="48"/>
      <c r="I38" s="49">
        <v>2</v>
      </c>
      <c r="J38" s="50"/>
      <c r="K38" s="51" t="s">
        <v>51</v>
      </c>
      <c r="L38" s="52"/>
      <c r="M38" s="53">
        <v>350000</v>
      </c>
      <c r="N38" s="53"/>
      <c r="O38" s="53">
        <v>400000</v>
      </c>
      <c r="P38" s="53">
        <v>13.67</v>
      </c>
      <c r="Q38" s="53">
        <v>417826.31699999998</v>
      </c>
      <c r="R38" s="22">
        <f t="shared" si="15"/>
        <v>1167826.317</v>
      </c>
      <c r="S38" s="23">
        <f t="shared" si="16"/>
        <v>85429.86956839796</v>
      </c>
      <c r="T38" s="54"/>
    </row>
    <row r="39" spans="1:16378" s="8" customFormat="1" ht="57.75" customHeight="1" x14ac:dyDescent="0.2">
      <c r="A39" s="27">
        <f t="shared" si="17"/>
        <v>6</v>
      </c>
      <c r="B39" s="39" t="s">
        <v>52</v>
      </c>
      <c r="C39" s="40"/>
      <c r="D39" s="40"/>
      <c r="E39" s="41" t="s">
        <v>53</v>
      </c>
      <c r="F39" s="21" t="s">
        <v>29</v>
      </c>
      <c r="G39" s="48"/>
      <c r="H39" s="48"/>
      <c r="I39" s="49">
        <v>2</v>
      </c>
      <c r="J39" s="50"/>
      <c r="K39" s="51" t="s">
        <v>51</v>
      </c>
      <c r="L39" s="52"/>
      <c r="M39" s="53">
        <v>150000</v>
      </c>
      <c r="N39" s="53"/>
      <c r="O39" s="53">
        <v>300000</v>
      </c>
      <c r="P39" s="53">
        <v>7.1749999999999998</v>
      </c>
      <c r="Q39" s="53">
        <v>191654.921</v>
      </c>
      <c r="R39" s="22">
        <f t="shared" si="15"/>
        <v>641654.92099999997</v>
      </c>
      <c r="S39" s="23">
        <f t="shared" si="16"/>
        <v>89429.25728222997</v>
      </c>
      <c r="T39" s="54"/>
    </row>
    <row r="40" spans="1:16378" s="8" customFormat="1" ht="57.75" customHeight="1" x14ac:dyDescent="0.2">
      <c r="A40" s="27">
        <f t="shared" si="17"/>
        <v>7</v>
      </c>
      <c r="B40" s="39" t="s">
        <v>54</v>
      </c>
      <c r="C40" s="40"/>
      <c r="D40" s="40"/>
      <c r="E40" s="41" t="s">
        <v>47</v>
      </c>
      <c r="F40" s="21" t="s">
        <v>29</v>
      </c>
      <c r="G40" s="48"/>
      <c r="H40" s="48"/>
      <c r="I40" s="49">
        <v>2</v>
      </c>
      <c r="J40" s="50"/>
      <c r="K40" s="51">
        <v>2023</v>
      </c>
      <c r="L40" s="52"/>
      <c r="M40" s="53"/>
      <c r="N40" s="53"/>
      <c r="O40" s="53"/>
      <c r="P40" s="53">
        <v>5</v>
      </c>
      <c r="Q40" s="53">
        <v>110000</v>
      </c>
      <c r="R40" s="323">
        <v>342666</v>
      </c>
      <c r="S40" s="23">
        <f t="shared" si="16"/>
        <v>68533.2</v>
      </c>
      <c r="T40" s="54"/>
    </row>
    <row r="41" spans="1:16378" s="8" customFormat="1" ht="57.75" customHeight="1" x14ac:dyDescent="0.2">
      <c r="A41" s="27">
        <f t="shared" si="17"/>
        <v>8</v>
      </c>
      <c r="B41" s="39" t="s">
        <v>55</v>
      </c>
      <c r="C41" s="40"/>
      <c r="D41" s="40"/>
      <c r="E41" s="41" t="s">
        <v>56</v>
      </c>
      <c r="F41" s="21" t="s">
        <v>29</v>
      </c>
      <c r="G41" s="48"/>
      <c r="H41" s="48"/>
      <c r="I41" s="49">
        <v>2</v>
      </c>
      <c r="J41" s="50"/>
      <c r="K41" s="51" t="s">
        <v>40</v>
      </c>
      <c r="L41" s="52"/>
      <c r="M41" s="53"/>
      <c r="N41" s="53"/>
      <c r="O41" s="53">
        <v>200000</v>
      </c>
      <c r="P41" s="53">
        <v>9</v>
      </c>
      <c r="Q41" s="53">
        <v>386874.22399999999</v>
      </c>
      <c r="R41" s="22">
        <f t="shared" si="15"/>
        <v>586874.22399999993</v>
      </c>
      <c r="S41" s="23">
        <f t="shared" si="16"/>
        <v>65208.247111111101</v>
      </c>
      <c r="T41" s="54"/>
    </row>
    <row r="42" spans="1:16378" s="8" customFormat="1" ht="59.25" customHeight="1" x14ac:dyDescent="0.2">
      <c r="A42" s="27">
        <f t="shared" si="17"/>
        <v>9</v>
      </c>
      <c r="B42" s="39" t="s">
        <v>327</v>
      </c>
      <c r="C42" s="40"/>
      <c r="D42" s="40"/>
      <c r="E42" s="41" t="s">
        <v>44</v>
      </c>
      <c r="F42" s="21" t="s">
        <v>45</v>
      </c>
      <c r="G42" s="48"/>
      <c r="H42" s="48"/>
      <c r="I42" s="49">
        <v>2</v>
      </c>
      <c r="J42" s="50"/>
      <c r="K42" s="51" t="s">
        <v>40</v>
      </c>
      <c r="L42" s="52"/>
      <c r="M42" s="53"/>
      <c r="N42" s="53"/>
      <c r="O42" s="53">
        <v>110000</v>
      </c>
      <c r="P42" s="53">
        <v>6</v>
      </c>
      <c r="Q42" s="53">
        <v>440000</v>
      </c>
      <c r="R42" s="22">
        <f t="shared" si="15"/>
        <v>550000</v>
      </c>
      <c r="S42" s="23">
        <f t="shared" si="16"/>
        <v>91666.666666666672</v>
      </c>
      <c r="T42" s="54"/>
    </row>
    <row r="43" spans="1:16378" s="8" customFormat="1" ht="63" x14ac:dyDescent="0.2">
      <c r="A43" s="27">
        <f t="shared" si="17"/>
        <v>10</v>
      </c>
      <c r="B43" s="39" t="s">
        <v>328</v>
      </c>
      <c r="C43" s="40"/>
      <c r="D43" s="40"/>
      <c r="E43" s="41" t="s">
        <v>44</v>
      </c>
      <c r="F43" s="21" t="s">
        <v>29</v>
      </c>
      <c r="G43" s="48"/>
      <c r="H43" s="48"/>
      <c r="I43" s="49">
        <v>2</v>
      </c>
      <c r="J43" s="50"/>
      <c r="K43" s="51" t="s">
        <v>59</v>
      </c>
      <c r="L43" s="52"/>
      <c r="M43" s="53"/>
      <c r="N43" s="53"/>
      <c r="O43" s="53"/>
      <c r="P43" s="53">
        <v>4.0999999999999996</v>
      </c>
      <c r="Q43" s="53">
        <v>146600</v>
      </c>
      <c r="R43" s="22">
        <f t="shared" si="15"/>
        <v>146600</v>
      </c>
      <c r="S43" s="23">
        <f>396600/P43</f>
        <v>96731.707317073175</v>
      </c>
      <c r="T43" s="54"/>
    </row>
    <row r="44" spans="1:16378" s="8" customFormat="1" ht="56.25" customHeight="1" x14ac:dyDescent="0.2">
      <c r="A44" s="27">
        <f t="shared" si="17"/>
        <v>11</v>
      </c>
      <c r="B44" s="39" t="s">
        <v>57</v>
      </c>
      <c r="C44" s="40"/>
      <c r="D44" s="40"/>
      <c r="E44" s="41" t="s">
        <v>44</v>
      </c>
      <c r="F44" s="21" t="s">
        <v>29</v>
      </c>
      <c r="G44" s="48"/>
      <c r="H44" s="48"/>
      <c r="I44" s="49">
        <v>2</v>
      </c>
      <c r="J44" s="50"/>
      <c r="K44" s="51">
        <v>2022</v>
      </c>
      <c r="L44" s="52"/>
      <c r="M44" s="55"/>
      <c r="N44" s="53">
        <v>0.5</v>
      </c>
      <c r="O44" s="53">
        <v>75000</v>
      </c>
      <c r="P44" s="53"/>
      <c r="Q44" s="55"/>
      <c r="R44" s="22">
        <f t="shared" si="15"/>
        <v>75000</v>
      </c>
      <c r="S44" s="23">
        <f>R44/N44</f>
        <v>150000</v>
      </c>
      <c r="T44" s="54"/>
    </row>
    <row r="45" spans="1:16378" s="434" customFormat="1" ht="25.5" customHeight="1" x14ac:dyDescent="0.2">
      <c r="A45" s="439"/>
      <c r="B45" s="440" t="s">
        <v>24</v>
      </c>
      <c r="C45" s="441"/>
      <c r="D45" s="442"/>
      <c r="E45" s="442"/>
      <c r="F45" s="442"/>
      <c r="G45" s="442"/>
      <c r="H45" s="442"/>
      <c r="I45" s="442"/>
      <c r="J45" s="442"/>
      <c r="K45" s="442"/>
      <c r="L45" s="443" t="s">
        <v>21</v>
      </c>
      <c r="M45" s="443">
        <f>SUBTOTAL(9,M46:M56)</f>
        <v>99620.611999999994</v>
      </c>
      <c r="N45" s="443" t="s">
        <v>21</v>
      </c>
      <c r="O45" s="443">
        <f>SUBTOTAL(9,O46:O56)</f>
        <v>24000</v>
      </c>
      <c r="P45" s="443" t="s">
        <v>21</v>
      </c>
      <c r="Q45" s="443">
        <v>50000</v>
      </c>
      <c r="R45" s="443">
        <f>SUBTOTAL(9,R46:R56)</f>
        <v>143620.61199999999</v>
      </c>
      <c r="S45" s="443" t="s">
        <v>21</v>
      </c>
      <c r="T45" s="443"/>
    </row>
    <row r="46" spans="1:16378" s="8" customFormat="1" ht="90" customHeight="1" x14ac:dyDescent="0.2">
      <c r="A46" s="56">
        <v>1</v>
      </c>
      <c r="B46" s="39" t="s">
        <v>58</v>
      </c>
      <c r="C46" s="40"/>
      <c r="D46" s="40"/>
      <c r="E46" s="41" t="s">
        <v>39</v>
      </c>
      <c r="F46" s="42" t="s">
        <v>21</v>
      </c>
      <c r="G46" s="42" t="s">
        <v>21</v>
      </c>
      <c r="H46" s="42" t="s">
        <v>21</v>
      </c>
      <c r="I46" s="21" t="s">
        <v>21</v>
      </c>
      <c r="J46" s="43" t="s">
        <v>21</v>
      </c>
      <c r="K46" s="44" t="s">
        <v>59</v>
      </c>
      <c r="L46" s="23" t="s">
        <v>21</v>
      </c>
      <c r="M46" s="30">
        <v>8125</v>
      </c>
      <c r="N46" s="23" t="s">
        <v>21</v>
      </c>
      <c r="O46" s="30"/>
      <c r="P46" s="23" t="s">
        <v>21</v>
      </c>
      <c r="Q46" s="30"/>
      <c r="R46" s="22">
        <f t="shared" si="15"/>
        <v>8125</v>
      </c>
      <c r="S46" s="42" t="s">
        <v>21</v>
      </c>
      <c r="T46" s="47"/>
    </row>
    <row r="47" spans="1:16378" s="8" customFormat="1" ht="90" customHeight="1" x14ac:dyDescent="0.2">
      <c r="A47" s="56">
        <f>A46+1</f>
        <v>2</v>
      </c>
      <c r="B47" s="39" t="s">
        <v>60</v>
      </c>
      <c r="C47" s="40"/>
      <c r="D47" s="40"/>
      <c r="E47" s="41" t="s">
        <v>39</v>
      </c>
      <c r="F47" s="42" t="s">
        <v>21</v>
      </c>
      <c r="G47" s="42" t="s">
        <v>21</v>
      </c>
      <c r="H47" s="42" t="s">
        <v>21</v>
      </c>
      <c r="I47" s="21" t="s">
        <v>21</v>
      </c>
      <c r="J47" s="43" t="s">
        <v>21</v>
      </c>
      <c r="K47" s="27" t="s">
        <v>40</v>
      </c>
      <c r="L47" s="23" t="s">
        <v>21</v>
      </c>
      <c r="M47" s="30">
        <v>8074.2039999999997</v>
      </c>
      <c r="N47" s="23" t="s">
        <v>21</v>
      </c>
      <c r="O47" s="30"/>
      <c r="P47" s="23" t="s">
        <v>21</v>
      </c>
      <c r="Q47" s="30"/>
      <c r="R47" s="22">
        <f t="shared" si="15"/>
        <v>8074.2039999999997</v>
      </c>
      <c r="S47" s="42" t="s">
        <v>21</v>
      </c>
      <c r="T47" s="47"/>
    </row>
    <row r="48" spans="1:16378" s="8" customFormat="1" ht="90" customHeight="1" x14ac:dyDescent="0.2">
      <c r="A48" s="56">
        <f t="shared" ref="A48:A56" si="18">A47+1</f>
        <v>3</v>
      </c>
      <c r="B48" s="39" t="s">
        <v>61</v>
      </c>
      <c r="C48" s="40"/>
      <c r="D48" s="40"/>
      <c r="E48" s="41" t="s">
        <v>39</v>
      </c>
      <c r="F48" s="42" t="s">
        <v>21</v>
      </c>
      <c r="G48" s="42" t="s">
        <v>21</v>
      </c>
      <c r="H48" s="42" t="s">
        <v>21</v>
      </c>
      <c r="I48" s="21" t="s">
        <v>21</v>
      </c>
      <c r="J48" s="43" t="s">
        <v>21</v>
      </c>
      <c r="K48" s="44" t="s">
        <v>59</v>
      </c>
      <c r="L48" s="23" t="s">
        <v>21</v>
      </c>
      <c r="M48" s="30">
        <v>8421.4079999999994</v>
      </c>
      <c r="N48" s="23" t="s">
        <v>21</v>
      </c>
      <c r="O48" s="30"/>
      <c r="P48" s="23" t="s">
        <v>21</v>
      </c>
      <c r="Q48" s="30"/>
      <c r="R48" s="22">
        <f t="shared" si="15"/>
        <v>8421.4079999999994</v>
      </c>
      <c r="S48" s="42" t="s">
        <v>21</v>
      </c>
      <c r="T48" s="47"/>
    </row>
    <row r="49" spans="1:21" s="8" customFormat="1" ht="76.5" customHeight="1" x14ac:dyDescent="0.2">
      <c r="A49" s="56">
        <f t="shared" si="18"/>
        <v>4</v>
      </c>
      <c r="B49" s="39" t="s">
        <v>62</v>
      </c>
      <c r="C49" s="40"/>
      <c r="D49" s="40"/>
      <c r="E49" s="41" t="s">
        <v>44</v>
      </c>
      <c r="F49" s="42" t="s">
        <v>21</v>
      </c>
      <c r="G49" s="42" t="s">
        <v>21</v>
      </c>
      <c r="H49" s="42" t="s">
        <v>21</v>
      </c>
      <c r="I49" s="42" t="s">
        <v>21</v>
      </c>
      <c r="J49" s="42" t="s">
        <v>21</v>
      </c>
      <c r="K49" s="51" t="s">
        <v>40</v>
      </c>
      <c r="L49" s="23" t="s">
        <v>21</v>
      </c>
      <c r="M49" s="30">
        <v>14000</v>
      </c>
      <c r="N49" s="23" t="s">
        <v>21</v>
      </c>
      <c r="O49" s="30"/>
      <c r="P49" s="23" t="s">
        <v>21</v>
      </c>
      <c r="Q49" s="30"/>
      <c r="R49" s="22">
        <f t="shared" si="15"/>
        <v>14000</v>
      </c>
      <c r="S49" s="42" t="s">
        <v>21</v>
      </c>
      <c r="T49" s="47"/>
    </row>
    <row r="50" spans="1:21" s="8" customFormat="1" ht="69.75" customHeight="1" x14ac:dyDescent="0.2">
      <c r="A50" s="56">
        <f t="shared" si="18"/>
        <v>5</v>
      </c>
      <c r="B50" s="39" t="s">
        <v>63</v>
      </c>
      <c r="C50" s="40"/>
      <c r="D50" s="40"/>
      <c r="E50" s="41" t="s">
        <v>47</v>
      </c>
      <c r="F50" s="42" t="s">
        <v>21</v>
      </c>
      <c r="G50" s="42" t="s">
        <v>21</v>
      </c>
      <c r="H50" s="42" t="s">
        <v>21</v>
      </c>
      <c r="I50" s="42" t="s">
        <v>21</v>
      </c>
      <c r="J50" s="42" t="s">
        <v>21</v>
      </c>
      <c r="K50" s="51">
        <v>2023</v>
      </c>
      <c r="L50" s="23" t="s">
        <v>21</v>
      </c>
      <c r="N50" s="23" t="s">
        <v>21</v>
      </c>
      <c r="O50" s="30">
        <v>14000</v>
      </c>
      <c r="P50" s="23" t="s">
        <v>21</v>
      </c>
      <c r="Q50" s="30"/>
      <c r="R50" s="22">
        <f t="shared" si="15"/>
        <v>14000</v>
      </c>
      <c r="S50" s="42" t="s">
        <v>21</v>
      </c>
      <c r="T50" s="47"/>
    </row>
    <row r="51" spans="1:21" s="8" customFormat="1" ht="78" customHeight="1" x14ac:dyDescent="0.2">
      <c r="A51" s="56">
        <f t="shared" si="18"/>
        <v>6</v>
      </c>
      <c r="B51" s="39" t="s">
        <v>64</v>
      </c>
      <c r="C51" s="40"/>
      <c r="D51" s="40"/>
      <c r="E51" s="41" t="s">
        <v>44</v>
      </c>
      <c r="F51" s="42" t="s">
        <v>21</v>
      </c>
      <c r="G51" s="42" t="s">
        <v>21</v>
      </c>
      <c r="H51" s="42" t="s">
        <v>21</v>
      </c>
      <c r="I51" s="42" t="s">
        <v>21</v>
      </c>
      <c r="J51" s="42" t="s">
        <v>21</v>
      </c>
      <c r="K51" s="51" t="s">
        <v>40</v>
      </c>
      <c r="L51" s="23" t="s">
        <v>21</v>
      </c>
      <c r="M51" s="30">
        <v>16000</v>
      </c>
      <c r="N51" s="23" t="s">
        <v>21</v>
      </c>
      <c r="O51" s="30"/>
      <c r="P51" s="23" t="s">
        <v>21</v>
      </c>
      <c r="Q51" s="30"/>
      <c r="R51" s="22">
        <f t="shared" si="15"/>
        <v>16000</v>
      </c>
      <c r="S51" s="42" t="s">
        <v>21</v>
      </c>
      <c r="T51" s="47"/>
    </row>
    <row r="52" spans="1:21" s="8" customFormat="1" ht="71.25" customHeight="1" x14ac:dyDescent="0.2">
      <c r="A52" s="56">
        <f t="shared" si="18"/>
        <v>7</v>
      </c>
      <c r="B52" s="39" t="s">
        <v>65</v>
      </c>
      <c r="C52" s="40"/>
      <c r="D52" s="40"/>
      <c r="E52" s="41" t="s">
        <v>47</v>
      </c>
      <c r="F52" s="42" t="s">
        <v>21</v>
      </c>
      <c r="G52" s="42" t="s">
        <v>21</v>
      </c>
      <c r="H52" s="42" t="s">
        <v>21</v>
      </c>
      <c r="I52" s="42" t="s">
        <v>21</v>
      </c>
      <c r="J52" s="42" t="s">
        <v>21</v>
      </c>
      <c r="K52" s="27" t="s">
        <v>66</v>
      </c>
      <c r="L52" s="23" t="s">
        <v>21</v>
      </c>
      <c r="M52" s="30"/>
      <c r="N52" s="23" t="s">
        <v>21</v>
      </c>
      <c r="O52" s="30">
        <v>10000</v>
      </c>
      <c r="P52" s="23" t="s">
        <v>21</v>
      </c>
      <c r="Q52" s="30"/>
      <c r="R52" s="22">
        <f t="shared" si="15"/>
        <v>10000</v>
      </c>
      <c r="S52" s="42" t="s">
        <v>21</v>
      </c>
      <c r="T52" s="47"/>
    </row>
    <row r="53" spans="1:21" s="8" customFormat="1" ht="75" customHeight="1" x14ac:dyDescent="0.2">
      <c r="A53" s="56">
        <f t="shared" si="18"/>
        <v>8</v>
      </c>
      <c r="B53" s="39" t="s">
        <v>67</v>
      </c>
      <c r="C53" s="40"/>
      <c r="D53" s="40"/>
      <c r="E53" s="41" t="s">
        <v>68</v>
      </c>
      <c r="F53" s="42" t="s">
        <v>21</v>
      </c>
      <c r="G53" s="42" t="s">
        <v>21</v>
      </c>
      <c r="H53" s="42" t="s">
        <v>21</v>
      </c>
      <c r="I53" s="42" t="s">
        <v>21</v>
      </c>
      <c r="J53" s="42" t="s">
        <v>21</v>
      </c>
      <c r="K53" s="27" t="s">
        <v>66</v>
      </c>
      <c r="L53" s="23" t="s">
        <v>21</v>
      </c>
      <c r="M53" s="30"/>
      <c r="N53" s="23" t="s">
        <v>21</v>
      </c>
      <c r="O53" s="30"/>
      <c r="P53" s="23" t="s">
        <v>21</v>
      </c>
      <c r="Q53" s="30">
        <v>20000</v>
      </c>
      <c r="R53" s="22">
        <f t="shared" si="15"/>
        <v>20000</v>
      </c>
      <c r="S53" s="42" t="s">
        <v>21</v>
      </c>
      <c r="T53" s="47"/>
    </row>
    <row r="54" spans="1:21" s="8" customFormat="1" ht="88.5" customHeight="1" x14ac:dyDescent="0.2">
      <c r="A54" s="56">
        <f t="shared" si="18"/>
        <v>9</v>
      </c>
      <c r="B54" s="39" t="s">
        <v>329</v>
      </c>
      <c r="C54" s="40"/>
      <c r="D54" s="40"/>
      <c r="E54" s="41" t="s">
        <v>44</v>
      </c>
      <c r="F54" s="42" t="s">
        <v>21</v>
      </c>
      <c r="G54" s="42" t="s">
        <v>21</v>
      </c>
      <c r="H54" s="42" t="s">
        <v>21</v>
      </c>
      <c r="I54" s="42" t="s">
        <v>21</v>
      </c>
      <c r="J54" s="42" t="s">
        <v>21</v>
      </c>
      <c r="K54" s="51" t="s">
        <v>40</v>
      </c>
      <c r="L54" s="23" t="s">
        <v>21</v>
      </c>
      <c r="M54" s="30">
        <v>20000</v>
      </c>
      <c r="N54" s="23" t="s">
        <v>21</v>
      </c>
      <c r="O54" s="30"/>
      <c r="P54" s="23" t="s">
        <v>21</v>
      </c>
      <c r="Q54" s="30"/>
      <c r="R54" s="22">
        <f t="shared" si="15"/>
        <v>20000</v>
      </c>
      <c r="S54" s="42"/>
      <c r="T54" s="47"/>
    </row>
    <row r="55" spans="1:21" s="8" customFormat="1" ht="81.75" customHeight="1" x14ac:dyDescent="0.2">
      <c r="A55" s="56">
        <f t="shared" si="18"/>
        <v>10</v>
      </c>
      <c r="B55" s="39" t="s">
        <v>330</v>
      </c>
      <c r="C55" s="40"/>
      <c r="D55" s="40"/>
      <c r="E55" s="41" t="s">
        <v>44</v>
      </c>
      <c r="F55" s="42" t="s">
        <v>21</v>
      </c>
      <c r="G55" s="42" t="s">
        <v>21</v>
      </c>
      <c r="H55" s="42" t="s">
        <v>21</v>
      </c>
      <c r="I55" s="42" t="s">
        <v>21</v>
      </c>
      <c r="J55" s="42" t="s">
        <v>21</v>
      </c>
      <c r="K55" s="51" t="s">
        <v>59</v>
      </c>
      <c r="L55" s="23" t="s">
        <v>21</v>
      </c>
      <c r="M55" s="30">
        <v>20000</v>
      </c>
      <c r="N55" s="23" t="s">
        <v>21</v>
      </c>
      <c r="O55" s="30"/>
      <c r="P55" s="23" t="s">
        <v>21</v>
      </c>
      <c r="Q55" s="30"/>
      <c r="R55" s="22">
        <f t="shared" si="15"/>
        <v>20000</v>
      </c>
      <c r="S55" s="42"/>
      <c r="T55" s="47"/>
    </row>
    <row r="56" spans="1:21" s="8" customFormat="1" ht="80.25" customHeight="1" x14ac:dyDescent="0.2">
      <c r="A56" s="56">
        <f t="shared" si="18"/>
        <v>11</v>
      </c>
      <c r="B56" s="39" t="s">
        <v>69</v>
      </c>
      <c r="C56" s="40"/>
      <c r="D56" s="40"/>
      <c r="E56" s="41" t="s">
        <v>44</v>
      </c>
      <c r="F56" s="42" t="s">
        <v>21</v>
      </c>
      <c r="G56" s="42" t="s">
        <v>21</v>
      </c>
      <c r="H56" s="42" t="s">
        <v>21</v>
      </c>
      <c r="I56" s="42" t="s">
        <v>21</v>
      </c>
      <c r="J56" s="42" t="s">
        <v>21</v>
      </c>
      <c r="K56" s="27">
        <v>2022</v>
      </c>
      <c r="L56" s="23" t="s">
        <v>21</v>
      </c>
      <c r="M56" s="30">
        <v>5000</v>
      </c>
      <c r="N56" s="23" t="s">
        <v>21</v>
      </c>
      <c r="O56" s="30"/>
      <c r="P56" s="23" t="s">
        <v>21</v>
      </c>
      <c r="Q56" s="30"/>
      <c r="R56" s="373">
        <f t="shared" si="15"/>
        <v>5000</v>
      </c>
      <c r="S56" s="42" t="s">
        <v>21</v>
      </c>
      <c r="T56" s="47"/>
    </row>
    <row r="57" spans="1:21" s="8" customFormat="1" ht="18.75" x14ac:dyDescent="0.2">
      <c r="A57" s="471"/>
      <c r="B57" s="472"/>
      <c r="C57" s="473"/>
      <c r="D57" s="473"/>
      <c r="E57" s="473"/>
      <c r="F57" s="472"/>
      <c r="G57" s="473"/>
      <c r="H57" s="474"/>
      <c r="I57" s="475"/>
      <c r="J57" s="471"/>
      <c r="K57" s="476"/>
      <c r="L57" s="477"/>
      <c r="M57" s="477"/>
      <c r="N57" s="477"/>
      <c r="O57" s="477"/>
      <c r="P57" s="477"/>
      <c r="Q57" s="477"/>
      <c r="R57" s="477"/>
      <c r="S57" s="478"/>
      <c r="T57" s="479"/>
    </row>
    <row r="58" spans="1:21" s="57" customFormat="1" ht="24.75" customHeight="1" x14ac:dyDescent="0.2">
      <c r="A58" s="915" t="s">
        <v>18</v>
      </c>
      <c r="B58" s="920" t="s">
        <v>70</v>
      </c>
      <c r="C58" s="921"/>
      <c r="D58" s="921"/>
      <c r="E58" s="921"/>
      <c r="F58" s="921"/>
      <c r="G58" s="922"/>
      <c r="H58" s="467">
        <v>1</v>
      </c>
      <c r="I58" s="929" t="s">
        <v>20</v>
      </c>
      <c r="J58" s="930"/>
      <c r="K58" s="931"/>
      <c r="L58" s="468">
        <f>L59+L60+L62</f>
        <v>13.61</v>
      </c>
      <c r="M58" s="468">
        <f>M59+M60+M61+M62</f>
        <v>439506.50797999999</v>
      </c>
      <c r="N58" s="468">
        <f>N59+N60+N62</f>
        <v>0.6</v>
      </c>
      <c r="O58" s="468">
        <f>O59+O60+O61+O62</f>
        <v>145300</v>
      </c>
      <c r="P58" s="468">
        <f>P59+P60+P62</f>
        <v>0.6</v>
      </c>
      <c r="Q58" s="468">
        <f>Q59+Q60+Q61+Q62</f>
        <v>160000</v>
      </c>
      <c r="R58" s="468">
        <f t="shared" ref="R58" si="19">R59+R60+R61+R62</f>
        <v>743387.70797999995</v>
      </c>
      <c r="S58" s="469"/>
      <c r="T58" s="470"/>
    </row>
    <row r="59" spans="1:21" s="58" customFormat="1" ht="24.75" customHeight="1" x14ac:dyDescent="0.25">
      <c r="A59" s="915"/>
      <c r="B59" s="920"/>
      <c r="C59" s="921"/>
      <c r="D59" s="921"/>
      <c r="E59" s="921"/>
      <c r="F59" s="921"/>
      <c r="G59" s="922"/>
      <c r="H59" s="421">
        <v>2</v>
      </c>
      <c r="I59" s="869" t="s">
        <v>22</v>
      </c>
      <c r="J59" s="870"/>
      <c r="K59" s="871"/>
      <c r="L59" s="422">
        <f>L63</f>
        <v>0</v>
      </c>
      <c r="M59" s="422">
        <f t="shared" ref="M59:R59" si="20">M63</f>
        <v>0</v>
      </c>
      <c r="N59" s="422">
        <f t="shared" si="20"/>
        <v>0</v>
      </c>
      <c r="O59" s="422">
        <f t="shared" si="20"/>
        <v>0</v>
      </c>
      <c r="P59" s="422">
        <f t="shared" si="20"/>
        <v>0</v>
      </c>
      <c r="Q59" s="422">
        <f t="shared" si="20"/>
        <v>0</v>
      </c>
      <c r="R59" s="422">
        <f t="shared" si="20"/>
        <v>0</v>
      </c>
      <c r="S59" s="422"/>
      <c r="T59" s="423"/>
    </row>
    <row r="60" spans="1:21" s="58" customFormat="1" ht="24.75" customHeight="1" x14ac:dyDescent="0.25">
      <c r="A60" s="915"/>
      <c r="B60" s="920"/>
      <c r="C60" s="921"/>
      <c r="D60" s="921"/>
      <c r="E60" s="921"/>
      <c r="F60" s="921"/>
      <c r="G60" s="922"/>
      <c r="H60" s="12">
        <v>3</v>
      </c>
      <c r="I60" s="872" t="s">
        <v>23</v>
      </c>
      <c r="J60" s="873"/>
      <c r="K60" s="874"/>
      <c r="L60" s="13">
        <f t="shared" ref="L60:R60" si="21">L64+L71</f>
        <v>13.61</v>
      </c>
      <c r="M60" s="13">
        <f>M64+M71</f>
        <v>426518.98</v>
      </c>
      <c r="N60" s="13">
        <f t="shared" si="21"/>
        <v>0.6</v>
      </c>
      <c r="O60" s="13">
        <f t="shared" si="21"/>
        <v>140000</v>
      </c>
      <c r="P60" s="13">
        <f t="shared" si="21"/>
        <v>0.6</v>
      </c>
      <c r="Q60" s="13">
        <f t="shared" si="21"/>
        <v>140000</v>
      </c>
      <c r="R60" s="13">
        <f t="shared" si="21"/>
        <v>707100.17999999993</v>
      </c>
      <c r="S60" s="13"/>
      <c r="T60" s="282"/>
      <c r="U60" s="59"/>
    </row>
    <row r="61" spans="1:21" s="446" customFormat="1" ht="24.75" customHeight="1" x14ac:dyDescent="0.25">
      <c r="A61" s="915"/>
      <c r="B61" s="920"/>
      <c r="C61" s="921"/>
      <c r="D61" s="921"/>
      <c r="E61" s="921"/>
      <c r="F61" s="921"/>
      <c r="G61" s="922"/>
      <c r="H61" s="435">
        <v>4</v>
      </c>
      <c r="I61" s="906" t="s">
        <v>71</v>
      </c>
      <c r="J61" s="907"/>
      <c r="K61" s="908"/>
      <c r="L61" s="436" t="str">
        <f>L79</f>
        <v>Х</v>
      </c>
      <c r="M61" s="436">
        <f t="shared" ref="M61:R61" si="22">M79</f>
        <v>12987.527979999999</v>
      </c>
      <c r="N61" s="436" t="str">
        <f t="shared" si="22"/>
        <v>Х</v>
      </c>
      <c r="O61" s="436">
        <f t="shared" si="22"/>
        <v>5300</v>
      </c>
      <c r="P61" s="436" t="str">
        <f t="shared" si="22"/>
        <v>Х</v>
      </c>
      <c r="Q61" s="436">
        <f t="shared" si="22"/>
        <v>20000</v>
      </c>
      <c r="R61" s="436">
        <f t="shared" si="22"/>
        <v>36287.527979999999</v>
      </c>
      <c r="S61" s="444"/>
      <c r="T61" s="438"/>
      <c r="U61" s="445"/>
    </row>
    <row r="62" spans="1:21" s="58" customFormat="1" ht="24.75" customHeight="1" thickBot="1" x14ac:dyDescent="0.3">
      <c r="A62" s="916"/>
      <c r="B62" s="923"/>
      <c r="C62" s="924"/>
      <c r="D62" s="924"/>
      <c r="E62" s="924"/>
      <c r="F62" s="924"/>
      <c r="G62" s="925"/>
      <c r="H62" s="15">
        <v>5</v>
      </c>
      <c r="I62" s="909" t="s">
        <v>25</v>
      </c>
      <c r="J62" s="910"/>
      <c r="K62" s="911"/>
      <c r="L62" s="16"/>
      <c r="M62" s="16">
        <f>M89</f>
        <v>0</v>
      </c>
      <c r="N62" s="16">
        <f t="shared" ref="N62:R62" si="23">N89</f>
        <v>0</v>
      </c>
      <c r="O62" s="16">
        <f t="shared" si="23"/>
        <v>0</v>
      </c>
      <c r="P62" s="16">
        <f t="shared" si="23"/>
        <v>0</v>
      </c>
      <c r="Q62" s="16">
        <f t="shared" si="23"/>
        <v>0</v>
      </c>
      <c r="R62" s="16">
        <f t="shared" si="23"/>
        <v>0</v>
      </c>
      <c r="S62" s="16"/>
      <c r="T62" s="283"/>
    </row>
    <row r="63" spans="1:21" s="420" customFormat="1" ht="25.5" x14ac:dyDescent="0.25">
      <c r="A63" s="409" t="s">
        <v>26</v>
      </c>
      <c r="B63" s="410"/>
      <c r="C63" s="410"/>
      <c r="D63" s="410"/>
      <c r="E63" s="411"/>
      <c r="F63" s="412"/>
      <c r="G63" s="413"/>
      <c r="H63" s="414"/>
      <c r="I63" s="415"/>
      <c r="J63" s="416"/>
      <c r="K63" s="417"/>
      <c r="L63" s="414">
        <v>0</v>
      </c>
      <c r="M63" s="414">
        <v>0</v>
      </c>
      <c r="N63" s="414">
        <v>0</v>
      </c>
      <c r="O63" s="414">
        <v>0</v>
      </c>
      <c r="P63" s="414">
        <v>0</v>
      </c>
      <c r="Q63" s="414">
        <v>0</v>
      </c>
      <c r="R63" s="414">
        <v>0</v>
      </c>
      <c r="S63" s="418"/>
      <c r="T63" s="418"/>
      <c r="U63" s="419"/>
    </row>
    <row r="64" spans="1:21" s="69" customFormat="1" ht="36" customHeight="1" x14ac:dyDescent="0.25">
      <c r="A64" s="60"/>
      <c r="B64" s="61" t="s">
        <v>72</v>
      </c>
      <c r="C64" s="62"/>
      <c r="D64" s="63"/>
      <c r="E64" s="64"/>
      <c r="F64" s="65"/>
      <c r="G64" s="66"/>
      <c r="H64" s="66"/>
      <c r="I64" s="67"/>
      <c r="J64" s="68"/>
      <c r="K64" s="68"/>
      <c r="L64" s="13">
        <f>SUBTOTAL(9,L65:L70)</f>
        <v>0.6</v>
      </c>
      <c r="M64" s="13">
        <f>SUBTOTAL(9,M65:M70)</f>
        <v>140000</v>
      </c>
      <c r="N64" s="13">
        <f>SUBTOTAL(9,N65:N70)</f>
        <v>0.6</v>
      </c>
      <c r="O64" s="13">
        <f t="shared" ref="O64:R64" si="24">SUBTOTAL(9,O65:O70)</f>
        <v>140000</v>
      </c>
      <c r="P64" s="13">
        <f>SUBTOTAL(9,P65:P70)</f>
        <v>0.6</v>
      </c>
      <c r="Q64" s="13">
        <f t="shared" si="24"/>
        <v>140000</v>
      </c>
      <c r="R64" s="13">
        <f t="shared" si="24"/>
        <v>420000</v>
      </c>
      <c r="S64" s="25"/>
      <c r="T64" s="26"/>
    </row>
    <row r="65" spans="1:20" s="69" customFormat="1" ht="66" x14ac:dyDescent="0.25">
      <c r="A65" s="70">
        <v>1</v>
      </c>
      <c r="B65" s="71" t="s">
        <v>73</v>
      </c>
      <c r="C65" s="72"/>
      <c r="D65" s="73"/>
      <c r="E65" s="41" t="s">
        <v>74</v>
      </c>
      <c r="F65" s="42">
        <v>4</v>
      </c>
      <c r="G65" s="42" t="s">
        <v>75</v>
      </c>
      <c r="H65" s="42"/>
      <c r="I65" s="74">
        <v>2</v>
      </c>
      <c r="J65" s="43">
        <v>24</v>
      </c>
      <c r="K65" s="75" t="s">
        <v>76</v>
      </c>
      <c r="L65" s="76">
        <v>0.3</v>
      </c>
      <c r="M65" s="77">
        <v>70000</v>
      </c>
      <c r="N65" s="76"/>
      <c r="O65" s="77"/>
      <c r="P65" s="23"/>
      <c r="Q65" s="78"/>
      <c r="R65" s="79">
        <f>M65</f>
        <v>70000</v>
      </c>
      <c r="S65" s="23">
        <f>R65/L65</f>
        <v>233333.33333333334</v>
      </c>
      <c r="T65" s="80"/>
    </row>
    <row r="66" spans="1:20" s="69" customFormat="1" ht="49.5" x14ac:dyDescent="0.25">
      <c r="A66" s="70">
        <v>2</v>
      </c>
      <c r="B66" s="71" t="s">
        <v>77</v>
      </c>
      <c r="C66" s="72"/>
      <c r="D66" s="73"/>
      <c r="E66" s="41" t="s">
        <v>74</v>
      </c>
      <c r="F66" s="42">
        <v>3</v>
      </c>
      <c r="G66" s="42">
        <v>342</v>
      </c>
      <c r="H66" s="42"/>
      <c r="I66" s="74">
        <v>2</v>
      </c>
      <c r="J66" s="81">
        <v>24</v>
      </c>
      <c r="K66" s="75" t="s">
        <v>76</v>
      </c>
      <c r="L66" s="76">
        <v>0.3</v>
      </c>
      <c r="M66" s="77">
        <v>70000</v>
      </c>
      <c r="N66" s="76"/>
      <c r="O66" s="77"/>
      <c r="P66" s="23"/>
      <c r="Q66" s="78"/>
      <c r="R66" s="79">
        <f>M66</f>
        <v>70000</v>
      </c>
      <c r="S66" s="23">
        <f>R66/L66</f>
        <v>233333.33333333334</v>
      </c>
      <c r="T66" s="80"/>
    </row>
    <row r="67" spans="1:20" s="69" customFormat="1" ht="76.5" customHeight="1" x14ac:dyDescent="0.25">
      <c r="A67" s="70">
        <v>3</v>
      </c>
      <c r="B67" s="71" t="s">
        <v>78</v>
      </c>
      <c r="C67" s="72"/>
      <c r="D67" s="73"/>
      <c r="E67" s="41" t="s">
        <v>79</v>
      </c>
      <c r="F67" s="42">
        <v>3</v>
      </c>
      <c r="G67" s="42">
        <v>616</v>
      </c>
      <c r="H67" s="42"/>
      <c r="I67" s="74">
        <v>2</v>
      </c>
      <c r="J67" s="43">
        <v>24</v>
      </c>
      <c r="K67" s="75" t="s">
        <v>80</v>
      </c>
      <c r="L67" s="76"/>
      <c r="M67" s="77"/>
      <c r="N67" s="76">
        <v>0.3</v>
      </c>
      <c r="O67" s="77">
        <v>70000</v>
      </c>
      <c r="P67" s="23"/>
      <c r="Q67" s="78"/>
      <c r="R67" s="79">
        <f>O67</f>
        <v>70000</v>
      </c>
      <c r="S67" s="23">
        <f>R67/N67</f>
        <v>233333.33333333334</v>
      </c>
      <c r="T67" s="80"/>
    </row>
    <row r="68" spans="1:20" s="69" customFormat="1" ht="86.45" customHeight="1" x14ac:dyDescent="0.25">
      <c r="A68" s="70">
        <v>4</v>
      </c>
      <c r="B68" s="71" t="s">
        <v>81</v>
      </c>
      <c r="C68" s="72"/>
      <c r="D68" s="73"/>
      <c r="E68" s="41" t="s">
        <v>82</v>
      </c>
      <c r="F68" s="42">
        <v>5</v>
      </c>
      <c r="G68" s="42" t="s">
        <v>75</v>
      </c>
      <c r="H68" s="42"/>
      <c r="I68" s="74">
        <v>2</v>
      </c>
      <c r="J68" s="81">
        <v>24</v>
      </c>
      <c r="K68" s="75" t="s">
        <v>80</v>
      </c>
      <c r="L68" s="76"/>
      <c r="M68" s="77"/>
      <c r="N68" s="76">
        <v>0.3</v>
      </c>
      <c r="O68" s="77">
        <v>70000</v>
      </c>
      <c r="P68" s="23"/>
      <c r="Q68" s="78"/>
      <c r="R68" s="79">
        <f>O68</f>
        <v>70000</v>
      </c>
      <c r="S68" s="23">
        <f>R68/N68</f>
        <v>233333.33333333334</v>
      </c>
      <c r="T68" s="80"/>
    </row>
    <row r="69" spans="1:20" s="69" customFormat="1" ht="55.15" customHeight="1" x14ac:dyDescent="0.25">
      <c r="A69" s="70">
        <v>5</v>
      </c>
      <c r="B69" s="71" t="s">
        <v>83</v>
      </c>
      <c r="C69" s="72"/>
      <c r="D69" s="73"/>
      <c r="E69" s="41" t="s">
        <v>84</v>
      </c>
      <c r="F69" s="42">
        <v>3</v>
      </c>
      <c r="G69" s="42">
        <v>645</v>
      </c>
      <c r="H69" s="42"/>
      <c r="I69" s="74">
        <v>2</v>
      </c>
      <c r="J69" s="43">
        <v>24</v>
      </c>
      <c r="K69" s="75" t="s">
        <v>85</v>
      </c>
      <c r="L69" s="76"/>
      <c r="M69" s="77"/>
      <c r="N69" s="76"/>
      <c r="O69" s="77"/>
      <c r="P69" s="23">
        <v>0.3</v>
      </c>
      <c r="Q69" s="78">
        <v>70000</v>
      </c>
      <c r="R69" s="79">
        <f>Q69</f>
        <v>70000</v>
      </c>
      <c r="S69" s="23">
        <f>R69/P69</f>
        <v>233333.33333333334</v>
      </c>
      <c r="T69" s="80"/>
    </row>
    <row r="70" spans="1:20" s="69" customFormat="1" ht="63" customHeight="1" x14ac:dyDescent="0.25">
      <c r="A70" s="82">
        <v>6</v>
      </c>
      <c r="B70" s="71" t="s">
        <v>86</v>
      </c>
      <c r="C70" s="72"/>
      <c r="D70" s="73"/>
      <c r="E70" s="41" t="s">
        <v>84</v>
      </c>
      <c r="F70" s="42">
        <v>5</v>
      </c>
      <c r="G70" s="42" t="s">
        <v>75</v>
      </c>
      <c r="H70" s="42"/>
      <c r="I70" s="83">
        <v>2</v>
      </c>
      <c r="J70" s="81">
        <v>24</v>
      </c>
      <c r="K70" s="75" t="s">
        <v>85</v>
      </c>
      <c r="L70" s="76"/>
      <c r="M70" s="77"/>
      <c r="N70" s="76"/>
      <c r="O70" s="77"/>
      <c r="P70" s="22">
        <v>0.3</v>
      </c>
      <c r="Q70" s="22">
        <v>70000</v>
      </c>
      <c r="R70" s="76">
        <f>Q70</f>
        <v>70000</v>
      </c>
      <c r="S70" s="23">
        <f>R70/P70</f>
        <v>233333.33333333334</v>
      </c>
      <c r="T70" s="80"/>
    </row>
    <row r="71" spans="1:20" s="95" customFormat="1" ht="30.6" customHeight="1" x14ac:dyDescent="0.3">
      <c r="A71" s="84"/>
      <c r="B71" s="85" t="s">
        <v>87</v>
      </c>
      <c r="C71" s="86"/>
      <c r="D71" s="87"/>
      <c r="E71" s="88"/>
      <c r="F71" s="89"/>
      <c r="G71" s="89"/>
      <c r="H71" s="89"/>
      <c r="I71" s="90"/>
      <c r="J71" s="91"/>
      <c r="K71" s="91"/>
      <c r="L71" s="92">
        <f>SUBTOTAL(9,L72:L76)</f>
        <v>13.01</v>
      </c>
      <c r="M71" s="92">
        <f>SUBTOTAL(9,M72:M76)</f>
        <v>286518.98</v>
      </c>
      <c r="N71" s="92">
        <f t="shared" ref="N71:Q71" si="25">SUBTOTAL(9,N72:N76)</f>
        <v>0</v>
      </c>
      <c r="O71" s="92">
        <f t="shared" si="25"/>
        <v>0</v>
      </c>
      <c r="P71" s="92">
        <f t="shared" si="25"/>
        <v>0</v>
      </c>
      <c r="Q71" s="92">
        <f t="shared" si="25"/>
        <v>0</v>
      </c>
      <c r="R71" s="92">
        <f>SUBTOTAL(9,R72:R77)</f>
        <v>287100.18</v>
      </c>
      <c r="S71" s="93"/>
      <c r="T71" s="94"/>
    </row>
    <row r="72" spans="1:20" s="69" customFormat="1" ht="57.6" customHeight="1" x14ac:dyDescent="0.25">
      <c r="A72" s="70">
        <v>1</v>
      </c>
      <c r="B72" s="71" t="s">
        <v>88</v>
      </c>
      <c r="C72" s="96"/>
      <c r="D72" s="97"/>
      <c r="E72" s="98" t="s">
        <v>89</v>
      </c>
      <c r="F72" s="99">
        <v>3</v>
      </c>
      <c r="G72" s="99">
        <v>1360</v>
      </c>
      <c r="H72" s="99"/>
      <c r="I72" s="100">
        <v>2</v>
      </c>
      <c r="J72" s="81">
        <v>24</v>
      </c>
      <c r="K72" s="101" t="s">
        <v>76</v>
      </c>
      <c r="L72" s="102">
        <v>1</v>
      </c>
      <c r="M72" s="103">
        <v>14790</v>
      </c>
      <c r="N72" s="102"/>
      <c r="O72" s="103"/>
      <c r="P72" s="104"/>
      <c r="Q72" s="105"/>
      <c r="R72" s="106">
        <f>M72</f>
        <v>14790</v>
      </c>
      <c r="S72" s="104">
        <f>R72/L72</f>
        <v>14790</v>
      </c>
      <c r="T72" s="108"/>
    </row>
    <row r="73" spans="1:20" s="69" customFormat="1" ht="75" x14ac:dyDescent="0.25">
      <c r="A73" s="109">
        <v>2</v>
      </c>
      <c r="B73" s="110" t="s">
        <v>90</v>
      </c>
      <c r="C73" s="72"/>
      <c r="D73" s="73"/>
      <c r="E73" s="111" t="s">
        <v>42</v>
      </c>
      <c r="F73" s="42">
        <v>4</v>
      </c>
      <c r="G73" s="42"/>
      <c r="H73" s="42"/>
      <c r="I73" s="100">
        <v>2</v>
      </c>
      <c r="J73" s="43"/>
      <c r="K73" s="44">
        <v>2021</v>
      </c>
      <c r="L73" s="112">
        <v>2.5</v>
      </c>
      <c r="M73" s="113">
        <v>44265.760000000002</v>
      </c>
      <c r="N73" s="22"/>
      <c r="O73" s="114"/>
      <c r="P73" s="22"/>
      <c r="Q73" s="113"/>
      <c r="R73" s="106">
        <f t="shared" ref="R73:R76" si="26">M73</f>
        <v>44265.760000000002</v>
      </c>
      <c r="S73" s="104">
        <f>R73/L73</f>
        <v>17706.304</v>
      </c>
      <c r="T73" s="115"/>
    </row>
    <row r="74" spans="1:20" s="69" customFormat="1" ht="75" x14ac:dyDescent="0.25">
      <c r="A74" s="109">
        <v>3</v>
      </c>
      <c r="B74" s="116" t="s">
        <v>91</v>
      </c>
      <c r="C74" s="72"/>
      <c r="D74" s="73"/>
      <c r="E74" s="111" t="s">
        <v>42</v>
      </c>
      <c r="F74" s="42">
        <v>3</v>
      </c>
      <c r="G74" s="42"/>
      <c r="H74" s="42"/>
      <c r="I74" s="100">
        <v>2</v>
      </c>
      <c r="J74" s="43"/>
      <c r="K74" s="44">
        <v>2021</v>
      </c>
      <c r="L74" s="112">
        <v>2</v>
      </c>
      <c r="M74" s="113">
        <v>31025.61</v>
      </c>
      <c r="N74" s="22"/>
      <c r="O74" s="114"/>
      <c r="P74" s="22"/>
      <c r="Q74" s="113"/>
      <c r="R74" s="106">
        <f t="shared" si="26"/>
        <v>31025.61</v>
      </c>
      <c r="S74" s="104">
        <f>R74/L74</f>
        <v>15512.805</v>
      </c>
      <c r="T74" s="115"/>
    </row>
    <row r="75" spans="1:20" s="69" customFormat="1" ht="56.25" x14ac:dyDescent="0.25">
      <c r="A75" s="109">
        <v>4</v>
      </c>
      <c r="B75" s="117" t="s">
        <v>92</v>
      </c>
      <c r="C75" s="72"/>
      <c r="D75" s="73"/>
      <c r="E75" s="111" t="s">
        <v>42</v>
      </c>
      <c r="F75" s="42">
        <v>3</v>
      </c>
      <c r="G75" s="42"/>
      <c r="H75" s="42"/>
      <c r="I75" s="100">
        <v>2</v>
      </c>
      <c r="J75" s="43"/>
      <c r="K75" s="44">
        <v>2021</v>
      </c>
      <c r="L75" s="112">
        <v>4.41</v>
      </c>
      <c r="M75" s="113">
        <v>58504.97</v>
      </c>
      <c r="N75" s="22"/>
      <c r="O75" s="114"/>
      <c r="P75" s="22"/>
      <c r="Q75" s="113"/>
      <c r="R75" s="106">
        <f t="shared" si="26"/>
        <v>58504.97</v>
      </c>
      <c r="S75" s="104">
        <f>R75/L75</f>
        <v>13266.433106575963</v>
      </c>
      <c r="T75" s="115"/>
    </row>
    <row r="76" spans="1:20" s="69" customFormat="1" ht="56.25" x14ac:dyDescent="0.25">
      <c r="A76" s="109">
        <v>5</v>
      </c>
      <c r="B76" s="118" t="s">
        <v>93</v>
      </c>
      <c r="C76" s="72"/>
      <c r="D76" s="73"/>
      <c r="E76" s="111" t="s">
        <v>42</v>
      </c>
      <c r="F76" s="42">
        <v>3</v>
      </c>
      <c r="G76" s="42"/>
      <c r="H76" s="42"/>
      <c r="I76" s="100">
        <v>2</v>
      </c>
      <c r="J76" s="43"/>
      <c r="K76" s="44">
        <v>2021</v>
      </c>
      <c r="L76" s="112">
        <v>3.1</v>
      </c>
      <c r="M76" s="113">
        <v>137932.64000000001</v>
      </c>
      <c r="N76" s="22"/>
      <c r="O76" s="114"/>
      <c r="P76" s="22"/>
      <c r="Q76" s="113"/>
      <c r="R76" s="106">
        <f t="shared" si="26"/>
        <v>137932.64000000001</v>
      </c>
      <c r="S76" s="104">
        <f>R76/L76</f>
        <v>44494.400000000001</v>
      </c>
      <c r="T76" s="115"/>
    </row>
    <row r="77" spans="1:20" s="69" customFormat="1" ht="37.5" x14ac:dyDescent="0.25">
      <c r="A77" s="353"/>
      <c r="B77" s="116" t="s">
        <v>332</v>
      </c>
      <c r="C77" s="72"/>
      <c r="D77" s="73"/>
      <c r="E77" s="159" t="s">
        <v>44</v>
      </c>
      <c r="F77" s="73" t="s">
        <v>333</v>
      </c>
      <c r="G77" s="42"/>
      <c r="H77" s="42"/>
      <c r="I77" s="354" t="s">
        <v>334</v>
      </c>
      <c r="J77" s="43"/>
      <c r="K77" s="44" t="s">
        <v>40</v>
      </c>
      <c r="L77" s="112"/>
      <c r="M77" s="113"/>
      <c r="N77" s="22"/>
      <c r="O77" s="114">
        <v>290.60000000000002</v>
      </c>
      <c r="P77" s="22">
        <v>29.06</v>
      </c>
      <c r="Q77" s="113">
        <v>290.60000000000002</v>
      </c>
      <c r="R77" s="106">
        <f>O77+Q77</f>
        <v>581.20000000000005</v>
      </c>
      <c r="S77" s="104"/>
      <c r="T77" s="115"/>
    </row>
    <row r="78" spans="1:20" s="69" customFormat="1" ht="16.5" x14ac:dyDescent="0.25">
      <c r="A78" s="82"/>
      <c r="B78" s="119"/>
      <c r="C78" s="72"/>
      <c r="D78" s="73"/>
      <c r="E78" s="41"/>
      <c r="F78" s="42"/>
      <c r="G78" s="42"/>
      <c r="H78" s="42"/>
      <c r="I78" s="74"/>
      <c r="J78" s="43"/>
      <c r="K78" s="75"/>
      <c r="L78" s="76"/>
      <c r="M78" s="77"/>
      <c r="N78" s="76"/>
      <c r="O78" s="77"/>
      <c r="P78" s="23"/>
      <c r="Q78" s="78"/>
      <c r="R78" s="79"/>
      <c r="S78" s="23"/>
      <c r="T78" s="80"/>
    </row>
    <row r="79" spans="1:20" s="449" customFormat="1" ht="33" customHeight="1" x14ac:dyDescent="0.25">
      <c r="A79" s="439"/>
      <c r="B79" s="440" t="s">
        <v>94</v>
      </c>
      <c r="C79" s="441"/>
      <c r="D79" s="442"/>
      <c r="E79" s="442"/>
      <c r="F79" s="442"/>
      <c r="G79" s="442"/>
      <c r="H79" s="442"/>
      <c r="I79" s="442"/>
      <c r="J79" s="442"/>
      <c r="K79" s="442"/>
      <c r="L79" s="443" t="s">
        <v>21</v>
      </c>
      <c r="M79" s="443">
        <f>SUM(M80:M86)</f>
        <v>12987.527979999999</v>
      </c>
      <c r="N79" s="443" t="s">
        <v>21</v>
      </c>
      <c r="O79" s="443">
        <f>SUM(O80:O86)</f>
        <v>5300</v>
      </c>
      <c r="P79" s="443" t="s">
        <v>21</v>
      </c>
      <c r="Q79" s="443">
        <v>20000</v>
      </c>
      <c r="R79" s="443">
        <f>SUBTOTAL(9,R80:R87)</f>
        <v>36287.527979999999</v>
      </c>
      <c r="S79" s="447" t="s">
        <v>21</v>
      </c>
      <c r="T79" s="448"/>
    </row>
    <row r="80" spans="1:20" s="69" customFormat="1" ht="58.15" customHeight="1" x14ac:dyDescent="0.25">
      <c r="A80" s="120">
        <v>1</v>
      </c>
      <c r="B80" s="71" t="s">
        <v>95</v>
      </c>
      <c r="C80" s="121"/>
      <c r="D80" s="122"/>
      <c r="E80" s="98" t="s">
        <v>89</v>
      </c>
      <c r="F80" s="42" t="s">
        <v>21</v>
      </c>
      <c r="G80" s="42" t="s">
        <v>21</v>
      </c>
      <c r="H80" s="42" t="s">
        <v>21</v>
      </c>
      <c r="I80" s="42" t="s">
        <v>21</v>
      </c>
      <c r="J80" s="42" t="s">
        <v>21</v>
      </c>
      <c r="K80" s="51">
        <v>2021</v>
      </c>
      <c r="L80" s="42" t="s">
        <v>21</v>
      </c>
      <c r="M80" s="123">
        <v>1500</v>
      </c>
      <c r="N80" s="42" t="s">
        <v>21</v>
      </c>
      <c r="O80" s="124"/>
      <c r="P80" s="42" t="s">
        <v>21</v>
      </c>
      <c r="Q80" s="124"/>
      <c r="R80" s="22">
        <f t="shared" ref="R80:R87" si="27">M80+O80+Q80</f>
        <v>1500</v>
      </c>
      <c r="S80" s="42" t="s">
        <v>21</v>
      </c>
      <c r="T80" s="126"/>
    </row>
    <row r="81" spans="1:21" s="69" customFormat="1" ht="86.25" customHeight="1" x14ac:dyDescent="0.25">
      <c r="A81" s="120">
        <v>2</v>
      </c>
      <c r="B81" s="71" t="s">
        <v>73</v>
      </c>
      <c r="C81" s="72"/>
      <c r="D81" s="73"/>
      <c r="E81" s="41" t="s">
        <v>74</v>
      </c>
      <c r="F81" s="42" t="s">
        <v>21</v>
      </c>
      <c r="G81" s="42" t="s">
        <v>21</v>
      </c>
      <c r="H81" s="42" t="s">
        <v>21</v>
      </c>
      <c r="I81" s="42" t="s">
        <v>21</v>
      </c>
      <c r="J81" s="42" t="s">
        <v>21</v>
      </c>
      <c r="K81" s="51">
        <v>2021</v>
      </c>
      <c r="L81" s="42" t="s">
        <v>21</v>
      </c>
      <c r="M81" s="123">
        <v>3032.8681700000002</v>
      </c>
      <c r="N81" s="42" t="s">
        <v>21</v>
      </c>
      <c r="O81" s="124"/>
      <c r="P81" s="42" t="s">
        <v>21</v>
      </c>
      <c r="Q81" s="124"/>
      <c r="R81" s="22">
        <f t="shared" si="27"/>
        <v>3032.8681700000002</v>
      </c>
      <c r="S81" s="42" t="s">
        <v>21</v>
      </c>
      <c r="T81" s="126"/>
    </row>
    <row r="82" spans="1:21" s="69" customFormat="1" ht="58.15" customHeight="1" x14ac:dyDescent="0.25">
      <c r="A82" s="120">
        <v>3</v>
      </c>
      <c r="B82" s="71" t="s">
        <v>77</v>
      </c>
      <c r="C82" s="72"/>
      <c r="D82" s="73"/>
      <c r="E82" s="41" t="s">
        <v>74</v>
      </c>
      <c r="F82" s="42" t="s">
        <v>21</v>
      </c>
      <c r="G82" s="42" t="s">
        <v>21</v>
      </c>
      <c r="H82" s="42" t="s">
        <v>21</v>
      </c>
      <c r="I82" s="42" t="s">
        <v>21</v>
      </c>
      <c r="J82" s="42" t="s">
        <v>21</v>
      </c>
      <c r="K82" s="51">
        <v>2021</v>
      </c>
      <c r="L82" s="42" t="s">
        <v>21</v>
      </c>
      <c r="M82" s="123">
        <v>2530.7679499999999</v>
      </c>
      <c r="N82" s="42" t="s">
        <v>21</v>
      </c>
      <c r="O82" s="124"/>
      <c r="P82" s="42" t="s">
        <v>21</v>
      </c>
      <c r="Q82" s="124"/>
      <c r="R82" s="22">
        <f t="shared" si="27"/>
        <v>2530.7679499999999</v>
      </c>
      <c r="S82" s="42" t="s">
        <v>21</v>
      </c>
      <c r="T82" s="126"/>
    </row>
    <row r="83" spans="1:21" s="69" customFormat="1" ht="67.5" customHeight="1" x14ac:dyDescent="0.25">
      <c r="A83" s="120">
        <v>4</v>
      </c>
      <c r="B83" s="71" t="s">
        <v>78</v>
      </c>
      <c r="C83" s="72"/>
      <c r="D83" s="73"/>
      <c r="E83" s="41" t="s">
        <v>96</v>
      </c>
      <c r="F83" s="42" t="s">
        <v>21</v>
      </c>
      <c r="G83" s="42" t="s">
        <v>21</v>
      </c>
      <c r="H83" s="42" t="s">
        <v>21</v>
      </c>
      <c r="I83" s="42" t="s">
        <v>21</v>
      </c>
      <c r="J83" s="42" t="s">
        <v>21</v>
      </c>
      <c r="K83" s="51">
        <v>2022</v>
      </c>
      <c r="L83" s="42" t="s">
        <v>21</v>
      </c>
      <c r="M83" s="123">
        <v>3123.8918600000002</v>
      </c>
      <c r="N83" s="42" t="s">
        <v>21</v>
      </c>
      <c r="O83" s="124"/>
      <c r="P83" s="42" t="s">
        <v>21</v>
      </c>
      <c r="Q83" s="124"/>
      <c r="R83" s="22">
        <f t="shared" si="27"/>
        <v>3123.8918600000002</v>
      </c>
      <c r="S83" s="42" t="s">
        <v>21</v>
      </c>
      <c r="T83" s="126"/>
    </row>
    <row r="84" spans="1:21" s="69" customFormat="1" ht="86.25" customHeight="1" x14ac:dyDescent="0.25">
      <c r="A84" s="18">
        <v>5</v>
      </c>
      <c r="B84" s="119" t="s">
        <v>81</v>
      </c>
      <c r="C84" s="72"/>
      <c r="D84" s="73"/>
      <c r="E84" s="41" t="s">
        <v>82</v>
      </c>
      <c r="F84" s="42" t="s">
        <v>21</v>
      </c>
      <c r="G84" s="42" t="s">
        <v>21</v>
      </c>
      <c r="H84" s="42" t="s">
        <v>21</v>
      </c>
      <c r="I84" s="42" t="s">
        <v>21</v>
      </c>
      <c r="J84" s="42" t="s">
        <v>21</v>
      </c>
      <c r="K84" s="44">
        <v>2022</v>
      </c>
      <c r="L84" s="42" t="s">
        <v>21</v>
      </c>
      <c r="M84" s="113">
        <v>2800</v>
      </c>
      <c r="N84" s="42" t="s">
        <v>21</v>
      </c>
      <c r="O84" s="115"/>
      <c r="P84" s="42" t="s">
        <v>21</v>
      </c>
      <c r="Q84" s="113"/>
      <c r="R84" s="373">
        <f t="shared" si="27"/>
        <v>2800</v>
      </c>
      <c r="S84" s="42" t="s">
        <v>21</v>
      </c>
      <c r="T84" s="380"/>
    </row>
    <row r="85" spans="1:21" s="69" customFormat="1" ht="57" customHeight="1" x14ac:dyDescent="0.25">
      <c r="A85" s="120">
        <v>6</v>
      </c>
      <c r="B85" s="71" t="s">
        <v>83</v>
      </c>
      <c r="C85" s="72"/>
      <c r="D85" s="73"/>
      <c r="E85" s="41" t="s">
        <v>84</v>
      </c>
      <c r="F85" s="42" t="s">
        <v>21</v>
      </c>
      <c r="G85" s="42" t="s">
        <v>21</v>
      </c>
      <c r="H85" s="42" t="s">
        <v>21</v>
      </c>
      <c r="I85" s="42" t="s">
        <v>21</v>
      </c>
      <c r="J85" s="42" t="s">
        <v>21</v>
      </c>
      <c r="K85" s="51">
        <v>2023</v>
      </c>
      <c r="L85" s="42" t="s">
        <v>21</v>
      </c>
      <c r="M85" s="123"/>
      <c r="N85" s="42" t="s">
        <v>21</v>
      </c>
      <c r="O85" s="124">
        <v>2600</v>
      </c>
      <c r="P85" s="42" t="s">
        <v>21</v>
      </c>
      <c r="Q85" s="124"/>
      <c r="R85" s="22">
        <f t="shared" si="27"/>
        <v>2600</v>
      </c>
      <c r="S85" s="42" t="s">
        <v>21</v>
      </c>
      <c r="T85" s="126"/>
    </row>
    <row r="86" spans="1:21" s="69" customFormat="1" ht="52.15" customHeight="1" x14ac:dyDescent="0.25">
      <c r="A86" s="120">
        <v>7</v>
      </c>
      <c r="B86" s="71" t="s">
        <v>86</v>
      </c>
      <c r="C86" s="72"/>
      <c r="D86" s="73"/>
      <c r="E86" s="41" t="s">
        <v>84</v>
      </c>
      <c r="F86" s="42" t="s">
        <v>21</v>
      </c>
      <c r="G86" s="42" t="s">
        <v>21</v>
      </c>
      <c r="H86" s="42" t="s">
        <v>21</v>
      </c>
      <c r="I86" s="42" t="s">
        <v>21</v>
      </c>
      <c r="J86" s="42" t="s">
        <v>21</v>
      </c>
      <c r="K86" s="51">
        <v>2023</v>
      </c>
      <c r="L86" s="42" t="s">
        <v>21</v>
      </c>
      <c r="M86" s="123"/>
      <c r="N86" s="42" t="s">
        <v>21</v>
      </c>
      <c r="O86" s="124">
        <v>2700</v>
      </c>
      <c r="P86" s="42" t="s">
        <v>21</v>
      </c>
      <c r="Q86" s="124"/>
      <c r="R86" s="22">
        <f t="shared" si="27"/>
        <v>2700</v>
      </c>
      <c r="S86" s="42" t="s">
        <v>21</v>
      </c>
      <c r="T86" s="126"/>
    </row>
    <row r="87" spans="1:21" s="69" customFormat="1" ht="52.15" customHeight="1" x14ac:dyDescent="0.25">
      <c r="A87" s="120">
        <v>8</v>
      </c>
      <c r="B87" s="71" t="s">
        <v>331</v>
      </c>
      <c r="C87" s="72"/>
      <c r="D87" s="152"/>
      <c r="E87" s="159" t="s">
        <v>44</v>
      </c>
      <c r="F87" s="42" t="s">
        <v>21</v>
      </c>
      <c r="G87" s="42" t="s">
        <v>21</v>
      </c>
      <c r="H87" s="42" t="s">
        <v>21</v>
      </c>
      <c r="I87" s="42" t="s">
        <v>21</v>
      </c>
      <c r="J87" s="42" t="s">
        <v>21</v>
      </c>
      <c r="K87" s="51" t="s">
        <v>40</v>
      </c>
      <c r="L87" s="42" t="s">
        <v>21</v>
      </c>
      <c r="M87" s="123">
        <v>18000</v>
      </c>
      <c r="N87" s="42" t="s">
        <v>21</v>
      </c>
      <c r="O87" s="124"/>
      <c r="P87" s="42" t="s">
        <v>21</v>
      </c>
      <c r="Q87" s="124"/>
      <c r="R87" s="22">
        <f t="shared" si="27"/>
        <v>18000</v>
      </c>
      <c r="S87" s="42" t="s">
        <v>21</v>
      </c>
      <c r="T87" s="126"/>
    </row>
    <row r="88" spans="1:21" s="69" customFormat="1" ht="7.5" customHeight="1" x14ac:dyDescent="0.25">
      <c r="A88" s="18"/>
      <c r="B88" s="116"/>
      <c r="C88" s="127"/>
      <c r="D88" s="128"/>
      <c r="E88" s="129"/>
      <c r="F88" s="48"/>
      <c r="G88" s="48"/>
      <c r="H88" s="48"/>
      <c r="I88" s="49"/>
      <c r="J88" s="50"/>
      <c r="K88" s="51"/>
      <c r="L88" s="52"/>
      <c r="M88" s="123"/>
      <c r="N88" s="52"/>
      <c r="O88" s="124"/>
      <c r="P88" s="52"/>
      <c r="Q88" s="124"/>
      <c r="R88" s="124"/>
      <c r="S88" s="52"/>
      <c r="T88" s="126"/>
    </row>
    <row r="89" spans="1:21" s="38" customFormat="1" ht="49.5" x14ac:dyDescent="0.25">
      <c r="A89" s="31"/>
      <c r="B89" s="32" t="s">
        <v>41</v>
      </c>
      <c r="C89" s="33"/>
      <c r="D89" s="34"/>
      <c r="E89" s="34"/>
      <c r="F89" s="34"/>
      <c r="G89" s="34"/>
      <c r="H89" s="34"/>
      <c r="I89" s="34"/>
      <c r="J89" s="34"/>
      <c r="K89" s="34"/>
      <c r="L89" s="35">
        <f t="shared" ref="L89:R89" si="28">SUBTOTAL(9,L90:L90)</f>
        <v>0</v>
      </c>
      <c r="M89" s="35">
        <f t="shared" si="28"/>
        <v>0</v>
      </c>
      <c r="N89" s="35">
        <f t="shared" si="28"/>
        <v>0</v>
      </c>
      <c r="O89" s="35">
        <f t="shared" si="28"/>
        <v>0</v>
      </c>
      <c r="P89" s="35">
        <f t="shared" si="28"/>
        <v>0</v>
      </c>
      <c r="Q89" s="35">
        <f t="shared" si="28"/>
        <v>0</v>
      </c>
      <c r="R89" s="35">
        <f t="shared" si="28"/>
        <v>0</v>
      </c>
      <c r="S89" s="36"/>
      <c r="T89" s="37"/>
    </row>
    <row r="90" spans="1:21" s="69" customFormat="1" ht="19.5" thickBot="1" x14ac:dyDescent="0.3">
      <c r="A90" s="381"/>
      <c r="B90" s="382"/>
      <c r="C90" s="383"/>
      <c r="D90" s="152"/>
      <c r="E90" s="129"/>
      <c r="F90" s="48"/>
      <c r="G90" s="48"/>
      <c r="H90" s="48"/>
      <c r="I90" s="49"/>
      <c r="J90" s="50"/>
      <c r="K90" s="51"/>
      <c r="L90" s="384"/>
      <c r="M90" s="124"/>
      <c r="N90" s="125"/>
      <c r="O90" s="385"/>
      <c r="P90" s="125"/>
      <c r="Q90" s="124"/>
      <c r="R90" s="124"/>
      <c r="S90" s="52"/>
      <c r="T90" s="386"/>
    </row>
    <row r="91" spans="1:21" s="69" customFormat="1" ht="21.75" customHeight="1" x14ac:dyDescent="0.25">
      <c r="A91" s="932" t="s">
        <v>97</v>
      </c>
      <c r="B91" s="859" t="s">
        <v>98</v>
      </c>
      <c r="C91" s="860"/>
      <c r="D91" s="860"/>
      <c r="E91" s="860"/>
      <c r="F91" s="860"/>
      <c r="G91" s="861"/>
      <c r="H91" s="279">
        <v>1</v>
      </c>
      <c r="I91" s="935" t="s">
        <v>20</v>
      </c>
      <c r="J91" s="936"/>
      <c r="K91" s="937"/>
      <c r="L91" s="10">
        <f t="shared" ref="L91:R91" si="29">L92+L93+L94+L95</f>
        <v>0</v>
      </c>
      <c r="M91" s="10">
        <f t="shared" si="29"/>
        <v>22000</v>
      </c>
      <c r="N91" s="10">
        <f t="shared" si="29"/>
        <v>128</v>
      </c>
      <c r="O91" s="10">
        <f t="shared" si="29"/>
        <v>214000</v>
      </c>
      <c r="P91" s="10">
        <f t="shared" si="29"/>
        <v>73</v>
      </c>
      <c r="Q91" s="10">
        <f t="shared" si="29"/>
        <v>117000</v>
      </c>
      <c r="R91" s="10">
        <f t="shared" si="29"/>
        <v>98200</v>
      </c>
      <c r="S91" s="11"/>
      <c r="T91" s="280"/>
    </row>
    <row r="92" spans="1:21" s="420" customFormat="1" ht="21.75" customHeight="1" x14ac:dyDescent="0.25">
      <c r="A92" s="933"/>
      <c r="B92" s="862"/>
      <c r="C92" s="863"/>
      <c r="D92" s="863"/>
      <c r="E92" s="863"/>
      <c r="F92" s="863"/>
      <c r="G92" s="864"/>
      <c r="H92" s="424">
        <v>2</v>
      </c>
      <c r="I92" s="869" t="s">
        <v>22</v>
      </c>
      <c r="J92" s="870"/>
      <c r="K92" s="871"/>
      <c r="L92" s="422">
        <f>L97</f>
        <v>0</v>
      </c>
      <c r="M92" s="422">
        <f t="shared" ref="M92:R93" si="30">M97</f>
        <v>0</v>
      </c>
      <c r="N92" s="422">
        <f t="shared" si="30"/>
        <v>0</v>
      </c>
      <c r="O92" s="422">
        <f t="shared" si="30"/>
        <v>0</v>
      </c>
      <c r="P92" s="422">
        <f t="shared" si="30"/>
        <v>0</v>
      </c>
      <c r="Q92" s="422">
        <f t="shared" si="30"/>
        <v>0</v>
      </c>
      <c r="R92" s="422">
        <f t="shared" si="30"/>
        <v>0</v>
      </c>
      <c r="S92" s="422"/>
      <c r="T92" s="423"/>
    </row>
    <row r="93" spans="1:21" s="58" customFormat="1" ht="21.75" customHeight="1" x14ac:dyDescent="0.25">
      <c r="A93" s="933"/>
      <c r="B93" s="862"/>
      <c r="C93" s="863"/>
      <c r="D93" s="863"/>
      <c r="E93" s="863"/>
      <c r="F93" s="863"/>
      <c r="G93" s="864"/>
      <c r="H93" s="130">
        <v>3</v>
      </c>
      <c r="I93" s="872" t="s">
        <v>99</v>
      </c>
      <c r="J93" s="873"/>
      <c r="K93" s="874"/>
      <c r="L93" s="13">
        <f>L98</f>
        <v>0</v>
      </c>
      <c r="M93" s="13">
        <f t="shared" si="30"/>
        <v>0</v>
      </c>
      <c r="N93" s="13">
        <f t="shared" si="30"/>
        <v>128</v>
      </c>
      <c r="O93" s="13">
        <f t="shared" si="30"/>
        <v>197000</v>
      </c>
      <c r="P93" s="13">
        <f t="shared" si="30"/>
        <v>73</v>
      </c>
      <c r="Q93" s="13">
        <f t="shared" si="30"/>
        <v>87000</v>
      </c>
      <c r="R93" s="13">
        <f t="shared" si="30"/>
        <v>98200</v>
      </c>
      <c r="S93" s="13"/>
      <c r="T93" s="282"/>
    </row>
    <row r="94" spans="1:21" s="446" customFormat="1" ht="21.75" customHeight="1" x14ac:dyDescent="0.25">
      <c r="A94" s="933"/>
      <c r="B94" s="862"/>
      <c r="C94" s="863"/>
      <c r="D94" s="863"/>
      <c r="E94" s="863"/>
      <c r="F94" s="863"/>
      <c r="G94" s="864"/>
      <c r="H94" s="450">
        <v>4</v>
      </c>
      <c r="I94" s="906" t="s">
        <v>71</v>
      </c>
      <c r="J94" s="907"/>
      <c r="K94" s="908"/>
      <c r="L94" s="436"/>
      <c r="M94" s="436">
        <f>M106</f>
        <v>22000</v>
      </c>
      <c r="N94" s="436"/>
      <c r="O94" s="436">
        <f>O106</f>
        <v>17000</v>
      </c>
      <c r="P94" s="436"/>
      <c r="Q94" s="436">
        <f>Q106</f>
        <v>30000</v>
      </c>
      <c r="R94" s="436">
        <f>R106</f>
        <v>0</v>
      </c>
      <c r="S94" s="444"/>
      <c r="T94" s="438"/>
    </row>
    <row r="95" spans="1:21" s="58" customFormat="1" ht="21.75" customHeight="1" thickBot="1" x14ac:dyDescent="0.3">
      <c r="A95" s="934"/>
      <c r="B95" s="865"/>
      <c r="C95" s="866"/>
      <c r="D95" s="866"/>
      <c r="E95" s="866"/>
      <c r="F95" s="866"/>
      <c r="G95" s="867"/>
      <c r="H95" s="234">
        <v>5</v>
      </c>
      <c r="I95" s="909" t="s">
        <v>25</v>
      </c>
      <c r="J95" s="910"/>
      <c r="K95" s="911"/>
      <c r="L95" s="16"/>
      <c r="M95" s="16">
        <f>M115</f>
        <v>0</v>
      </c>
      <c r="N95" s="16">
        <f t="shared" ref="N95:R95" si="31">N115</f>
        <v>0</v>
      </c>
      <c r="O95" s="16">
        <f t="shared" si="31"/>
        <v>0</v>
      </c>
      <c r="P95" s="16">
        <f t="shared" si="31"/>
        <v>0</v>
      </c>
      <c r="Q95" s="16">
        <f t="shared" si="31"/>
        <v>0</v>
      </c>
      <c r="R95" s="16">
        <f t="shared" si="31"/>
        <v>0</v>
      </c>
      <c r="S95" s="235"/>
      <c r="T95" s="283"/>
    </row>
    <row r="96" spans="1:21" s="420" customFormat="1" ht="25.5" x14ac:dyDescent="0.25">
      <c r="A96" s="409" t="s">
        <v>26</v>
      </c>
      <c r="B96" s="410"/>
      <c r="C96" s="410"/>
      <c r="D96" s="410"/>
      <c r="E96" s="411"/>
      <c r="F96" s="412"/>
      <c r="G96" s="413"/>
      <c r="H96" s="414"/>
      <c r="I96" s="415"/>
      <c r="J96" s="416"/>
      <c r="K96" s="417"/>
      <c r="L96" s="414">
        <f>L97</f>
        <v>0</v>
      </c>
      <c r="M96" s="414">
        <f t="shared" ref="M96:R96" si="32">M97</f>
        <v>0</v>
      </c>
      <c r="N96" s="414">
        <f t="shared" si="32"/>
        <v>0</v>
      </c>
      <c r="O96" s="414">
        <f t="shared" si="32"/>
        <v>0</v>
      </c>
      <c r="P96" s="414">
        <f t="shared" si="32"/>
        <v>0</v>
      </c>
      <c r="Q96" s="414">
        <f t="shared" si="32"/>
        <v>0</v>
      </c>
      <c r="R96" s="414">
        <f t="shared" si="32"/>
        <v>0</v>
      </c>
      <c r="S96" s="418"/>
      <c r="T96" s="418"/>
      <c r="U96" s="419" t="e">
        <f>M96+M118+#REF!+#REF!</f>
        <v>#REF!</v>
      </c>
    </row>
    <row r="97" spans="1:20" s="140" customFormat="1" ht="18.75" x14ac:dyDescent="0.3">
      <c r="A97" s="132"/>
      <c r="B97" s="133"/>
      <c r="C97" s="134"/>
      <c r="D97" s="73"/>
      <c r="E97" s="135"/>
      <c r="F97" s="136"/>
      <c r="G97" s="42"/>
      <c r="H97" s="137"/>
      <c r="I97" s="49"/>
      <c r="J97" s="44"/>
      <c r="K97" s="42"/>
      <c r="L97" s="138"/>
      <c r="M97" s="138"/>
      <c r="N97" s="125"/>
      <c r="O97" s="22"/>
      <c r="P97" s="125"/>
      <c r="Q97" s="113"/>
      <c r="R97" s="113"/>
      <c r="S97" s="125"/>
      <c r="T97" s="139"/>
    </row>
    <row r="98" spans="1:20" s="69" customFormat="1" ht="25.5" x14ac:dyDescent="0.25">
      <c r="A98" s="141"/>
      <c r="B98" s="142" t="s">
        <v>99</v>
      </c>
      <c r="C98" s="143"/>
      <c r="D98" s="144"/>
      <c r="E98" s="145"/>
      <c r="F98" s="146"/>
      <c r="G98" s="147"/>
      <c r="H98" s="147"/>
      <c r="I98" s="148"/>
      <c r="J98" s="149"/>
      <c r="K98" s="149"/>
      <c r="L98" s="150">
        <f>L99</f>
        <v>0</v>
      </c>
      <c r="M98" s="150">
        <f t="shared" ref="M98:R98" si="33">M99</f>
        <v>0</v>
      </c>
      <c r="N98" s="150">
        <f>SUM(N99:N105)</f>
        <v>128</v>
      </c>
      <c r="O98" s="13">
        <f>SUM(O99:O105)</f>
        <v>197000</v>
      </c>
      <c r="P98" s="13">
        <f>SUM(P99:P105)</f>
        <v>73</v>
      </c>
      <c r="Q98" s="13">
        <f>SUM(Q99:Q105)</f>
        <v>87000</v>
      </c>
      <c r="R98" s="13">
        <f t="shared" si="33"/>
        <v>98200</v>
      </c>
      <c r="S98" s="25"/>
      <c r="T98" s="26"/>
    </row>
    <row r="99" spans="1:20" s="140" customFormat="1" ht="75" x14ac:dyDescent="0.3">
      <c r="A99" s="132">
        <v>1</v>
      </c>
      <c r="B99" s="116" t="s">
        <v>100</v>
      </c>
      <c r="C99" s="134"/>
      <c r="D99" s="73"/>
      <c r="E99" s="41" t="s">
        <v>101</v>
      </c>
      <c r="F99" s="42">
        <v>5</v>
      </c>
      <c r="G99" s="42"/>
      <c r="H99" s="42"/>
      <c r="I99" s="74">
        <v>2</v>
      </c>
      <c r="J99" s="43"/>
      <c r="K99" s="75" t="s">
        <v>80</v>
      </c>
      <c r="L99" s="76"/>
      <c r="M99" s="77"/>
      <c r="N99" s="76">
        <v>55</v>
      </c>
      <c r="O99" s="151">
        <v>98200</v>
      </c>
      <c r="P99" s="22"/>
      <c r="Q99" s="113"/>
      <c r="R99" s="22">
        <f t="shared" ref="R99:R113" si="34">M99+O99+Q99</f>
        <v>98200</v>
      </c>
      <c r="S99" s="309">
        <f>R99/N99</f>
        <v>1785.4545454545455</v>
      </c>
      <c r="T99" s="135"/>
    </row>
    <row r="100" spans="1:20" s="140" customFormat="1" ht="75" x14ac:dyDescent="0.3">
      <c r="A100" s="132">
        <v>2</v>
      </c>
      <c r="B100" s="116" t="s">
        <v>102</v>
      </c>
      <c r="C100" s="134"/>
      <c r="D100" s="152"/>
      <c r="E100" s="41" t="s">
        <v>101</v>
      </c>
      <c r="F100" s="48">
        <v>5</v>
      </c>
      <c r="G100" s="48"/>
      <c r="H100" s="48"/>
      <c r="I100" s="153">
        <v>2</v>
      </c>
      <c r="J100" s="50"/>
      <c r="K100" s="154" t="s">
        <v>80</v>
      </c>
      <c r="L100" s="155"/>
      <c r="M100" s="156"/>
      <c r="N100" s="155">
        <v>24</v>
      </c>
      <c r="O100" s="157">
        <v>43800</v>
      </c>
      <c r="P100" s="125"/>
      <c r="Q100" s="124"/>
      <c r="R100" s="22">
        <f t="shared" si="34"/>
        <v>43800</v>
      </c>
      <c r="S100" s="309">
        <f t="shared" ref="S100:S101" si="35">R100/N100</f>
        <v>1825</v>
      </c>
      <c r="T100" s="158"/>
    </row>
    <row r="101" spans="1:20" s="140" customFormat="1" ht="93.75" x14ac:dyDescent="0.3">
      <c r="A101" s="132">
        <v>3</v>
      </c>
      <c r="B101" s="116" t="s">
        <v>103</v>
      </c>
      <c r="C101" s="134"/>
      <c r="D101" s="73"/>
      <c r="E101" s="41" t="s">
        <v>101</v>
      </c>
      <c r="F101" s="42">
        <v>5</v>
      </c>
      <c r="G101" s="42"/>
      <c r="H101" s="42"/>
      <c r="I101" s="74">
        <v>2</v>
      </c>
      <c r="J101" s="43"/>
      <c r="K101" s="75" t="s">
        <v>80</v>
      </c>
      <c r="L101" s="76"/>
      <c r="M101" s="77"/>
      <c r="N101" s="76">
        <v>21</v>
      </c>
      <c r="O101" s="352">
        <v>25000</v>
      </c>
      <c r="P101" s="22"/>
      <c r="Q101" s="113"/>
      <c r="R101" s="22">
        <f t="shared" si="34"/>
        <v>25000</v>
      </c>
      <c r="S101" s="309">
        <f t="shared" si="35"/>
        <v>1190.4761904761904</v>
      </c>
      <c r="T101" s="135"/>
    </row>
    <row r="102" spans="1:20" s="140" customFormat="1" ht="81.75" customHeight="1" x14ac:dyDescent="0.3">
      <c r="A102" s="132">
        <v>4</v>
      </c>
      <c r="B102" s="116" t="s">
        <v>104</v>
      </c>
      <c r="C102" s="134"/>
      <c r="D102" s="152"/>
      <c r="E102" s="41" t="s">
        <v>101</v>
      </c>
      <c r="F102" s="48">
        <v>5</v>
      </c>
      <c r="G102" s="48"/>
      <c r="H102" s="48"/>
      <c r="I102" s="153">
        <v>2</v>
      </c>
      <c r="J102" s="50"/>
      <c r="K102" s="154" t="s">
        <v>80</v>
      </c>
      <c r="L102" s="155"/>
      <c r="M102" s="156"/>
      <c r="N102" s="155">
        <v>28</v>
      </c>
      <c r="O102" s="157">
        <v>30000</v>
      </c>
      <c r="P102" s="125"/>
      <c r="Q102" s="124"/>
      <c r="R102" s="22">
        <f t="shared" si="34"/>
        <v>30000</v>
      </c>
      <c r="S102" s="309">
        <f>R102/N102</f>
        <v>1071.4285714285713</v>
      </c>
      <c r="T102" s="158"/>
    </row>
    <row r="103" spans="1:20" s="140" customFormat="1" ht="93.75" x14ac:dyDescent="0.3">
      <c r="A103" s="132">
        <v>5</v>
      </c>
      <c r="B103" s="116" t="s">
        <v>105</v>
      </c>
      <c r="C103" s="134"/>
      <c r="D103" s="152"/>
      <c r="E103" s="159" t="s">
        <v>106</v>
      </c>
      <c r="F103" s="48">
        <v>5</v>
      </c>
      <c r="G103" s="48"/>
      <c r="H103" s="48"/>
      <c r="I103" s="153">
        <v>2</v>
      </c>
      <c r="J103" s="50"/>
      <c r="K103" s="154" t="s">
        <v>85</v>
      </c>
      <c r="L103" s="155"/>
      <c r="M103" s="156"/>
      <c r="N103" s="155"/>
      <c r="O103" s="160"/>
      <c r="P103" s="125">
        <v>26</v>
      </c>
      <c r="Q103" s="124">
        <v>27000</v>
      </c>
      <c r="R103" s="22">
        <f t="shared" si="34"/>
        <v>27000</v>
      </c>
      <c r="S103" s="309">
        <f>R103/P103</f>
        <v>1038.4615384615386</v>
      </c>
      <c r="T103" s="158"/>
    </row>
    <row r="104" spans="1:20" s="140" customFormat="1" ht="75" x14ac:dyDescent="0.3">
      <c r="A104" s="132">
        <v>6</v>
      </c>
      <c r="B104" s="116" t="s">
        <v>107</v>
      </c>
      <c r="C104" s="134"/>
      <c r="D104" s="152"/>
      <c r="E104" s="159" t="s">
        <v>106</v>
      </c>
      <c r="F104" s="48">
        <v>5</v>
      </c>
      <c r="G104" s="48"/>
      <c r="H104" s="48"/>
      <c r="I104" s="153">
        <v>2</v>
      </c>
      <c r="J104" s="50"/>
      <c r="K104" s="154" t="s">
        <v>85</v>
      </c>
      <c r="L104" s="155"/>
      <c r="M104" s="156"/>
      <c r="N104" s="155"/>
      <c r="O104" s="160"/>
      <c r="P104" s="125">
        <v>26</v>
      </c>
      <c r="Q104" s="124">
        <v>38000</v>
      </c>
      <c r="R104" s="22">
        <f t="shared" si="34"/>
        <v>38000</v>
      </c>
      <c r="S104" s="309">
        <f t="shared" ref="S104:S105" si="36">R104/P104</f>
        <v>1461.5384615384614</v>
      </c>
      <c r="T104" s="158"/>
    </row>
    <row r="105" spans="1:20" s="140" customFormat="1" ht="75" x14ac:dyDescent="0.3">
      <c r="A105" s="132">
        <v>7</v>
      </c>
      <c r="B105" s="116" t="s">
        <v>108</v>
      </c>
      <c r="C105" s="134"/>
      <c r="D105" s="152"/>
      <c r="E105" s="159" t="s">
        <v>106</v>
      </c>
      <c r="F105" s="48">
        <v>5</v>
      </c>
      <c r="G105" s="48"/>
      <c r="H105" s="48"/>
      <c r="I105" s="153">
        <v>2</v>
      </c>
      <c r="J105" s="50"/>
      <c r="K105" s="154" t="s">
        <v>85</v>
      </c>
      <c r="L105" s="155"/>
      <c r="M105" s="156"/>
      <c r="N105" s="155"/>
      <c r="O105" s="160"/>
      <c r="P105" s="125">
        <v>21</v>
      </c>
      <c r="Q105" s="124">
        <v>22000</v>
      </c>
      <c r="R105" s="22">
        <f t="shared" si="34"/>
        <v>22000</v>
      </c>
      <c r="S105" s="309">
        <f t="shared" si="36"/>
        <v>1047.6190476190477</v>
      </c>
      <c r="T105" s="158"/>
    </row>
    <row r="106" spans="1:20" s="449" customFormat="1" ht="37.5" customHeight="1" x14ac:dyDescent="0.25">
      <c r="A106" s="439"/>
      <c r="B106" s="440" t="s">
        <v>109</v>
      </c>
      <c r="C106" s="441"/>
      <c r="D106" s="442"/>
      <c r="E106" s="442"/>
      <c r="F106" s="442"/>
      <c r="G106" s="442"/>
      <c r="H106" s="442"/>
      <c r="I106" s="442"/>
      <c r="J106" s="442"/>
      <c r="K106" s="442"/>
      <c r="L106" s="443" t="s">
        <v>21</v>
      </c>
      <c r="M106" s="443">
        <f>SUBTOTAL(9,M107:M113)</f>
        <v>22000</v>
      </c>
      <c r="N106" s="443" t="s">
        <v>21</v>
      </c>
      <c r="O106" s="443">
        <f>SUBTOTAL(9,O107:O113)</f>
        <v>17000</v>
      </c>
      <c r="P106" s="443" t="s">
        <v>21</v>
      </c>
      <c r="Q106" s="443">
        <v>30000</v>
      </c>
      <c r="R106" s="443">
        <v>0</v>
      </c>
      <c r="S106" s="447" t="s">
        <v>21</v>
      </c>
      <c r="T106" s="448"/>
    </row>
    <row r="107" spans="1:20" s="164" customFormat="1" ht="75" x14ac:dyDescent="0.25">
      <c r="A107" s="18">
        <v>1</v>
      </c>
      <c r="B107" s="116" t="s">
        <v>100</v>
      </c>
      <c r="C107" s="134"/>
      <c r="D107" s="73"/>
      <c r="E107" s="41" t="s">
        <v>101</v>
      </c>
      <c r="F107" s="161"/>
      <c r="G107" s="161"/>
      <c r="H107" s="161"/>
      <c r="I107" s="161"/>
      <c r="J107" s="161"/>
      <c r="K107" s="161"/>
      <c r="L107" s="162"/>
      <c r="M107" s="155">
        <v>6000</v>
      </c>
      <c r="N107" s="155"/>
      <c r="O107" s="155"/>
      <c r="P107" s="162"/>
      <c r="Q107" s="162"/>
      <c r="R107" s="22">
        <f t="shared" si="34"/>
        <v>6000</v>
      </c>
      <c r="S107" s="42" t="s">
        <v>21</v>
      </c>
      <c r="T107" s="163"/>
    </row>
    <row r="108" spans="1:20" s="164" customFormat="1" ht="75" x14ac:dyDescent="0.25">
      <c r="A108" s="18">
        <v>2</v>
      </c>
      <c r="B108" s="116" t="s">
        <v>102</v>
      </c>
      <c r="C108" s="134"/>
      <c r="D108" s="152"/>
      <c r="E108" s="41" t="s">
        <v>101</v>
      </c>
      <c r="F108" s="161"/>
      <c r="G108" s="161"/>
      <c r="H108" s="161"/>
      <c r="I108" s="161"/>
      <c r="J108" s="161"/>
      <c r="K108" s="161"/>
      <c r="L108" s="162"/>
      <c r="M108" s="155">
        <v>6000</v>
      </c>
      <c r="N108" s="155"/>
      <c r="O108" s="155"/>
      <c r="P108" s="162"/>
      <c r="Q108" s="162"/>
      <c r="R108" s="22">
        <f t="shared" si="34"/>
        <v>6000</v>
      </c>
      <c r="S108" s="42" t="s">
        <v>21</v>
      </c>
      <c r="T108" s="163"/>
    </row>
    <row r="109" spans="1:20" s="164" customFormat="1" ht="93.75" x14ac:dyDescent="0.25">
      <c r="A109" s="18">
        <v>3</v>
      </c>
      <c r="B109" s="116" t="s">
        <v>103</v>
      </c>
      <c r="C109" s="134"/>
      <c r="D109" s="152"/>
      <c r="E109" s="41" t="s">
        <v>101</v>
      </c>
      <c r="F109" s="161"/>
      <c r="G109" s="161"/>
      <c r="H109" s="161"/>
      <c r="I109" s="161"/>
      <c r="J109" s="161"/>
      <c r="K109" s="161"/>
      <c r="L109" s="162"/>
      <c r="M109" s="155">
        <v>5000</v>
      </c>
      <c r="N109" s="155"/>
      <c r="O109" s="155"/>
      <c r="P109" s="162"/>
      <c r="Q109" s="162"/>
      <c r="R109" s="22">
        <f t="shared" si="34"/>
        <v>5000</v>
      </c>
      <c r="S109" s="42" t="s">
        <v>21</v>
      </c>
      <c r="T109" s="163"/>
    </row>
    <row r="110" spans="1:20" s="164" customFormat="1" ht="77.25" customHeight="1" x14ac:dyDescent="0.25">
      <c r="A110" s="18">
        <v>4</v>
      </c>
      <c r="B110" s="116" t="s">
        <v>104</v>
      </c>
      <c r="C110" s="134"/>
      <c r="D110" s="73"/>
      <c r="E110" s="41" t="s">
        <v>101</v>
      </c>
      <c r="F110" s="167"/>
      <c r="G110" s="167"/>
      <c r="H110" s="167"/>
      <c r="I110" s="167"/>
      <c r="J110" s="167"/>
      <c r="K110" s="167"/>
      <c r="L110" s="197"/>
      <c r="M110" s="76">
        <v>5000</v>
      </c>
      <c r="N110" s="76"/>
      <c r="O110" s="76"/>
      <c r="P110" s="197"/>
      <c r="Q110" s="197"/>
      <c r="R110" s="373">
        <f t="shared" si="34"/>
        <v>5000</v>
      </c>
      <c r="S110" s="42" t="s">
        <v>21</v>
      </c>
      <c r="T110" s="207"/>
    </row>
    <row r="111" spans="1:20" s="164" customFormat="1" ht="93.75" x14ac:dyDescent="0.25">
      <c r="A111" s="18">
        <v>5</v>
      </c>
      <c r="B111" s="116" t="s">
        <v>105</v>
      </c>
      <c r="C111" s="134"/>
      <c r="D111" s="152"/>
      <c r="E111" s="159" t="s">
        <v>106</v>
      </c>
      <c r="F111" s="161"/>
      <c r="G111" s="161"/>
      <c r="H111" s="161"/>
      <c r="I111" s="161"/>
      <c r="J111" s="161"/>
      <c r="K111" s="161"/>
      <c r="L111" s="162"/>
      <c r="M111" s="155"/>
      <c r="N111" s="155"/>
      <c r="O111" s="155">
        <v>5000</v>
      </c>
      <c r="P111" s="162"/>
      <c r="Q111" s="162"/>
      <c r="R111" s="22">
        <f t="shared" si="34"/>
        <v>5000</v>
      </c>
      <c r="S111" s="42" t="s">
        <v>21</v>
      </c>
      <c r="T111" s="163"/>
    </row>
    <row r="112" spans="1:20" s="164" customFormat="1" ht="75" x14ac:dyDescent="0.25">
      <c r="A112" s="18">
        <v>6</v>
      </c>
      <c r="B112" s="116" t="s">
        <v>107</v>
      </c>
      <c r="C112" s="134"/>
      <c r="D112" s="152"/>
      <c r="E112" s="159" t="s">
        <v>106</v>
      </c>
      <c r="F112" s="161"/>
      <c r="G112" s="161"/>
      <c r="H112" s="161"/>
      <c r="I112" s="161"/>
      <c r="J112" s="161"/>
      <c r="K112" s="161"/>
      <c r="L112" s="162"/>
      <c r="M112" s="155"/>
      <c r="N112" s="155"/>
      <c r="O112" s="155">
        <v>6000</v>
      </c>
      <c r="P112" s="162"/>
      <c r="Q112" s="162"/>
      <c r="R112" s="22">
        <f t="shared" si="34"/>
        <v>6000</v>
      </c>
      <c r="S112" s="42" t="s">
        <v>21</v>
      </c>
      <c r="T112" s="163"/>
    </row>
    <row r="113" spans="1:21" s="164" customFormat="1" ht="75" x14ac:dyDescent="0.25">
      <c r="A113" s="18">
        <v>7</v>
      </c>
      <c r="B113" s="116" t="s">
        <v>108</v>
      </c>
      <c r="C113" s="134"/>
      <c r="D113" s="152"/>
      <c r="E113" s="159" t="s">
        <v>106</v>
      </c>
      <c r="F113" s="161"/>
      <c r="G113" s="161"/>
      <c r="H113" s="161"/>
      <c r="I113" s="161"/>
      <c r="J113" s="161"/>
      <c r="K113" s="161"/>
      <c r="L113" s="162"/>
      <c r="M113" s="155"/>
      <c r="N113" s="155"/>
      <c r="O113" s="155">
        <v>6000</v>
      </c>
      <c r="P113" s="162"/>
      <c r="Q113" s="162"/>
      <c r="R113" s="22">
        <f t="shared" si="34"/>
        <v>6000</v>
      </c>
      <c r="S113" s="42" t="s">
        <v>21</v>
      </c>
      <c r="T113" s="163"/>
    </row>
    <row r="114" spans="1:21" s="164" customFormat="1" ht="6" customHeight="1" x14ac:dyDescent="0.25">
      <c r="A114" s="165"/>
      <c r="B114" s="166"/>
      <c r="C114" s="167"/>
      <c r="D114" s="161"/>
      <c r="E114" s="161"/>
      <c r="F114" s="161"/>
      <c r="G114" s="161"/>
      <c r="H114" s="161"/>
      <c r="I114" s="161"/>
      <c r="J114" s="161"/>
      <c r="K114" s="161"/>
      <c r="L114" s="162"/>
      <c r="M114" s="162"/>
      <c r="N114" s="162"/>
      <c r="O114" s="162"/>
      <c r="P114" s="162"/>
      <c r="Q114" s="162"/>
      <c r="R114" s="162"/>
      <c r="S114" s="168"/>
      <c r="T114" s="163"/>
    </row>
    <row r="115" spans="1:21" s="38" customFormat="1" ht="48" customHeight="1" x14ac:dyDescent="0.25">
      <c r="A115" s="31"/>
      <c r="B115" s="32" t="s">
        <v>41</v>
      </c>
      <c r="C115" s="33"/>
      <c r="D115" s="34"/>
      <c r="E115" s="34"/>
      <c r="F115" s="34"/>
      <c r="G115" s="34"/>
      <c r="H115" s="34"/>
      <c r="I115" s="34"/>
      <c r="J115" s="34"/>
      <c r="K115" s="34"/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6"/>
      <c r="T115" s="37"/>
    </row>
    <row r="116" spans="1:21" s="69" customFormat="1" ht="7.5" customHeight="1" thickBot="1" x14ac:dyDescent="0.3">
      <c r="A116" s="381"/>
      <c r="B116" s="133"/>
      <c r="C116" s="387"/>
      <c r="D116" s="48"/>
      <c r="E116" s="158"/>
      <c r="F116" s="48"/>
      <c r="G116" s="48"/>
      <c r="H116" s="48"/>
      <c r="I116" s="51"/>
      <c r="J116" s="51"/>
      <c r="K116" s="50"/>
      <c r="L116" s="388"/>
      <c r="M116" s="388"/>
      <c r="N116" s="388"/>
      <c r="O116" s="388"/>
      <c r="P116" s="125"/>
      <c r="Q116" s="124"/>
      <c r="R116" s="124"/>
      <c r="S116" s="389"/>
      <c r="T116" s="390"/>
    </row>
    <row r="117" spans="1:21" s="69" customFormat="1" ht="27" customHeight="1" x14ac:dyDescent="0.25">
      <c r="A117" s="932" t="s">
        <v>45</v>
      </c>
      <c r="B117" s="859" t="s">
        <v>110</v>
      </c>
      <c r="C117" s="860"/>
      <c r="D117" s="860"/>
      <c r="E117" s="860"/>
      <c r="F117" s="860"/>
      <c r="G117" s="861"/>
      <c r="H117" s="279">
        <v>1</v>
      </c>
      <c r="I117" s="935" t="s">
        <v>20</v>
      </c>
      <c r="J117" s="936"/>
      <c r="K117" s="937"/>
      <c r="L117" s="10">
        <f>L118+L119+L121</f>
        <v>129.465</v>
      </c>
      <c r="M117" s="10">
        <f t="shared" ref="M117:R117" si="37">M118+M119+M120+M121</f>
        <v>1652423.93243</v>
      </c>
      <c r="N117" s="10">
        <f>N118+N119+N121</f>
        <v>210.24199999999999</v>
      </c>
      <c r="O117" s="10">
        <f t="shared" si="37"/>
        <v>2730158.1459199996</v>
      </c>
      <c r="P117" s="10">
        <f>P118+P119+P121</f>
        <v>197.43</v>
      </c>
      <c r="Q117" s="10">
        <f t="shared" si="37"/>
        <v>2062195.04</v>
      </c>
      <c r="R117" s="10">
        <f t="shared" si="37"/>
        <v>6348216.0183499996</v>
      </c>
      <c r="S117" s="11"/>
      <c r="T117" s="280"/>
    </row>
    <row r="118" spans="1:21" s="420" customFormat="1" ht="27" customHeight="1" x14ac:dyDescent="0.25">
      <c r="A118" s="933"/>
      <c r="B118" s="862"/>
      <c r="C118" s="863"/>
      <c r="D118" s="863"/>
      <c r="E118" s="863"/>
      <c r="F118" s="863"/>
      <c r="G118" s="864"/>
      <c r="H118" s="424">
        <v>2</v>
      </c>
      <c r="I118" s="869" t="s">
        <v>22</v>
      </c>
      <c r="J118" s="870"/>
      <c r="K118" s="871"/>
      <c r="L118" s="422">
        <f>L122</f>
        <v>1.9330000000000001</v>
      </c>
      <c r="M118" s="422">
        <f t="shared" ref="M118:R118" si="38">M122</f>
        <v>61913.14243</v>
      </c>
      <c r="N118" s="422">
        <f t="shared" si="38"/>
        <v>0</v>
      </c>
      <c r="O118" s="422">
        <f t="shared" si="38"/>
        <v>0</v>
      </c>
      <c r="P118" s="422">
        <f t="shared" si="38"/>
        <v>0</v>
      </c>
      <c r="Q118" s="422">
        <f t="shared" si="38"/>
        <v>0</v>
      </c>
      <c r="R118" s="422">
        <f t="shared" si="38"/>
        <v>61913.14243</v>
      </c>
      <c r="S118" s="422"/>
      <c r="T118" s="423"/>
    </row>
    <row r="119" spans="1:21" s="58" customFormat="1" ht="27" customHeight="1" x14ac:dyDescent="0.25">
      <c r="A119" s="933"/>
      <c r="B119" s="862"/>
      <c r="C119" s="863"/>
      <c r="D119" s="863"/>
      <c r="E119" s="863"/>
      <c r="F119" s="863"/>
      <c r="G119" s="864"/>
      <c r="H119" s="130">
        <v>3</v>
      </c>
      <c r="I119" s="872" t="s">
        <v>99</v>
      </c>
      <c r="J119" s="873"/>
      <c r="K119" s="874"/>
      <c r="L119" s="13">
        <f t="shared" ref="L119:R119" si="39">L125</f>
        <v>31.942</v>
      </c>
      <c r="M119" s="13">
        <f t="shared" si="39"/>
        <v>438431</v>
      </c>
      <c r="N119" s="13">
        <f t="shared" si="39"/>
        <v>32</v>
      </c>
      <c r="O119" s="13">
        <f t="shared" si="39"/>
        <v>460546.56479999999</v>
      </c>
      <c r="P119" s="13">
        <f t="shared" si="39"/>
        <v>26.5</v>
      </c>
      <c r="Q119" s="13">
        <f t="shared" si="39"/>
        <v>634488</v>
      </c>
      <c r="R119" s="13">
        <f t="shared" si="39"/>
        <v>1533465.5648000001</v>
      </c>
      <c r="S119" s="13"/>
      <c r="T119" s="282"/>
    </row>
    <row r="120" spans="1:21" s="446" customFormat="1" ht="27" customHeight="1" x14ac:dyDescent="0.25">
      <c r="A120" s="933"/>
      <c r="B120" s="862"/>
      <c r="C120" s="863"/>
      <c r="D120" s="863"/>
      <c r="E120" s="863"/>
      <c r="F120" s="863"/>
      <c r="G120" s="864"/>
      <c r="H120" s="450">
        <v>4</v>
      </c>
      <c r="I120" s="906" t="s">
        <v>111</v>
      </c>
      <c r="J120" s="907"/>
      <c r="K120" s="908"/>
      <c r="L120" s="436" t="str">
        <f>L138</f>
        <v>Х</v>
      </c>
      <c r="M120" s="436">
        <f t="shared" ref="M120:R120" si="40">M138</f>
        <v>59917.5</v>
      </c>
      <c r="N120" s="436" t="str">
        <f t="shared" si="40"/>
        <v>Х</v>
      </c>
      <c r="O120" s="436">
        <f t="shared" si="40"/>
        <v>36643.599999999999</v>
      </c>
      <c r="P120" s="436" t="str">
        <f t="shared" si="40"/>
        <v>Х</v>
      </c>
      <c r="Q120" s="436">
        <f t="shared" si="40"/>
        <v>0</v>
      </c>
      <c r="R120" s="436">
        <f t="shared" si="40"/>
        <v>0</v>
      </c>
      <c r="S120" s="444"/>
      <c r="T120" s="438"/>
    </row>
    <row r="121" spans="1:21" s="58" customFormat="1" ht="27" customHeight="1" thickBot="1" x14ac:dyDescent="0.3">
      <c r="A121" s="934"/>
      <c r="B121" s="865"/>
      <c r="C121" s="866"/>
      <c r="D121" s="866"/>
      <c r="E121" s="866"/>
      <c r="F121" s="866"/>
      <c r="G121" s="867"/>
      <c r="H121" s="234">
        <v>5</v>
      </c>
      <c r="I121" s="909" t="s">
        <v>25</v>
      </c>
      <c r="J121" s="910"/>
      <c r="K121" s="911"/>
      <c r="L121" s="16">
        <f t="shared" ref="L121:R121" si="41">L189</f>
        <v>95.59</v>
      </c>
      <c r="M121" s="16">
        <f t="shared" si="41"/>
        <v>1092162.29</v>
      </c>
      <c r="N121" s="16">
        <f t="shared" si="41"/>
        <v>178.24199999999999</v>
      </c>
      <c r="O121" s="16">
        <f t="shared" si="41"/>
        <v>2232967.9811199997</v>
      </c>
      <c r="P121" s="16">
        <f t="shared" si="41"/>
        <v>170.93</v>
      </c>
      <c r="Q121" s="16">
        <f t="shared" si="41"/>
        <v>1427707.04</v>
      </c>
      <c r="R121" s="16">
        <f t="shared" si="41"/>
        <v>4752837.3111199997</v>
      </c>
      <c r="S121" s="235"/>
      <c r="T121" s="283"/>
    </row>
    <row r="122" spans="1:21" s="420" customFormat="1" ht="32.25" customHeight="1" x14ac:dyDescent="0.25">
      <c r="A122" s="409" t="s">
        <v>26</v>
      </c>
      <c r="B122" s="410"/>
      <c r="C122" s="410"/>
      <c r="D122" s="410"/>
      <c r="E122" s="411"/>
      <c r="F122" s="412"/>
      <c r="G122" s="413"/>
      <c r="H122" s="414"/>
      <c r="I122" s="415"/>
      <c r="J122" s="416"/>
      <c r="K122" s="417"/>
      <c r="L122" s="414">
        <f t="shared" ref="L122:R122" si="42">SUBTOTAL(9,L123:L124)</f>
        <v>1.9330000000000001</v>
      </c>
      <c r="M122" s="414">
        <f t="shared" si="42"/>
        <v>61913.14243</v>
      </c>
      <c r="N122" s="414">
        <f t="shared" si="42"/>
        <v>0</v>
      </c>
      <c r="O122" s="414">
        <f t="shared" si="42"/>
        <v>0</v>
      </c>
      <c r="P122" s="414">
        <f t="shared" si="42"/>
        <v>0</v>
      </c>
      <c r="Q122" s="414">
        <f t="shared" si="42"/>
        <v>0</v>
      </c>
      <c r="R122" s="414">
        <f t="shared" si="42"/>
        <v>61913.14243</v>
      </c>
      <c r="S122" s="418"/>
      <c r="T122" s="418"/>
      <c r="U122" s="419" t="e">
        <f>M122+#REF!+#REF!+#REF!</f>
        <v>#REF!</v>
      </c>
    </row>
    <row r="123" spans="1:21" s="140" customFormat="1" ht="102.75" customHeight="1" x14ac:dyDescent="0.3">
      <c r="A123" s="132">
        <v>1</v>
      </c>
      <c r="B123" s="169" t="s">
        <v>112</v>
      </c>
      <c r="C123" s="134"/>
      <c r="D123" s="73"/>
      <c r="E123" s="170" t="s">
        <v>113</v>
      </c>
      <c r="F123" s="136"/>
      <c r="G123" s="42"/>
      <c r="H123" s="137"/>
      <c r="I123" s="49"/>
      <c r="J123" s="44"/>
      <c r="K123" s="42"/>
      <c r="L123" s="171">
        <v>1.9330000000000001</v>
      </c>
      <c r="M123" s="151">
        <v>40175.436000000002</v>
      </c>
      <c r="N123" s="172"/>
      <c r="O123" s="102"/>
      <c r="P123" s="102"/>
      <c r="Q123" s="107"/>
      <c r="R123" s="107">
        <f>M123+O123+Q123</f>
        <v>40175.436000000002</v>
      </c>
      <c r="S123" s="107">
        <f>R123/L123</f>
        <v>20783.981376099327</v>
      </c>
      <c r="T123" s="173"/>
    </row>
    <row r="124" spans="1:21" s="140" customFormat="1" ht="75.75" customHeight="1" x14ac:dyDescent="0.3">
      <c r="A124" s="360">
        <v>3</v>
      </c>
      <c r="B124" s="365" t="s">
        <v>338</v>
      </c>
      <c r="C124" s="121"/>
      <c r="D124" s="176"/>
      <c r="E124" s="177"/>
      <c r="F124" s="178"/>
      <c r="G124" s="179"/>
      <c r="H124" s="180"/>
      <c r="I124" s="181"/>
      <c r="J124" s="182"/>
      <c r="K124" s="73" t="s">
        <v>116</v>
      </c>
      <c r="L124" s="183"/>
      <c r="M124" s="103">
        <v>21737.706429999998</v>
      </c>
      <c r="N124" s="76"/>
      <c r="O124" s="103"/>
      <c r="P124" s="184"/>
      <c r="Q124" s="76"/>
      <c r="R124" s="22">
        <f t="shared" ref="R124" si="43">M124+O124+Q124</f>
        <v>21737.706429999998</v>
      </c>
      <c r="S124" s="76"/>
      <c r="T124" s="184"/>
    </row>
    <row r="125" spans="1:21" s="140" customFormat="1" ht="37.5" customHeight="1" x14ac:dyDescent="0.3">
      <c r="A125" s="141"/>
      <c r="B125" s="61" t="s">
        <v>72</v>
      </c>
      <c r="C125" s="62"/>
      <c r="D125" s="63"/>
      <c r="E125" s="64"/>
      <c r="F125" s="65"/>
      <c r="G125" s="66"/>
      <c r="H125" s="66"/>
      <c r="I125" s="67"/>
      <c r="J125" s="68"/>
      <c r="K125" s="68"/>
      <c r="L125" s="13">
        <f>SUBTOTAL(9,L126:L137)</f>
        <v>31.942</v>
      </c>
      <c r="M125" s="13">
        <f>SUBTOTAL(9,M126:M137)</f>
        <v>438431</v>
      </c>
      <c r="N125" s="13">
        <f t="shared" ref="N125:R125" si="44">SUBTOTAL(9,N126:N137)</f>
        <v>32</v>
      </c>
      <c r="O125" s="13">
        <f t="shared" si="44"/>
        <v>460546.56479999999</v>
      </c>
      <c r="P125" s="13">
        <f t="shared" si="44"/>
        <v>26.5</v>
      </c>
      <c r="Q125" s="13">
        <f t="shared" si="44"/>
        <v>634488</v>
      </c>
      <c r="R125" s="13">
        <f t="shared" si="44"/>
        <v>1533465.5648000001</v>
      </c>
      <c r="S125" s="13"/>
      <c r="T125" s="26"/>
    </row>
    <row r="126" spans="1:21" s="140" customFormat="1" ht="47.45" customHeight="1" x14ac:dyDescent="0.3">
      <c r="A126" s="132">
        <v>1</v>
      </c>
      <c r="B126" s="175" t="s">
        <v>114</v>
      </c>
      <c r="C126" s="127"/>
      <c r="D126" s="176"/>
      <c r="E126" s="177" t="s">
        <v>115</v>
      </c>
      <c r="F126" s="178">
        <v>3</v>
      </c>
      <c r="G126" s="179">
        <v>616</v>
      </c>
      <c r="H126" s="180"/>
      <c r="I126" s="181">
        <v>2</v>
      </c>
      <c r="J126" s="182">
        <v>12</v>
      </c>
      <c r="K126" s="73" t="s">
        <v>116</v>
      </c>
      <c r="L126" s="183">
        <v>1.8</v>
      </c>
      <c r="M126" s="103">
        <v>39524.277000000002</v>
      </c>
      <c r="N126" s="76"/>
      <c r="O126" s="103"/>
      <c r="P126" s="184"/>
      <c r="Q126" s="76"/>
      <c r="R126" s="22">
        <f>M126+O126+Q126</f>
        <v>39524.277000000002</v>
      </c>
      <c r="S126" s="76">
        <f>R126/L126</f>
        <v>21957.931666666667</v>
      </c>
      <c r="T126" s="184"/>
    </row>
    <row r="127" spans="1:21" s="362" customFormat="1" ht="54" customHeight="1" x14ac:dyDescent="0.3">
      <c r="A127" s="132">
        <v>2</v>
      </c>
      <c r="B127" s="175" t="s">
        <v>117</v>
      </c>
      <c r="C127" s="134"/>
      <c r="D127" s="73"/>
      <c r="E127" s="185" t="s">
        <v>118</v>
      </c>
      <c r="F127" s="178">
        <v>3</v>
      </c>
      <c r="G127" s="136">
        <v>3604</v>
      </c>
      <c r="H127" s="44"/>
      <c r="I127" s="44">
        <v>2</v>
      </c>
      <c r="J127" s="44">
        <v>12</v>
      </c>
      <c r="K127" s="73" t="s">
        <v>76</v>
      </c>
      <c r="L127" s="466">
        <v>4.282</v>
      </c>
      <c r="M127" s="113">
        <v>67050</v>
      </c>
      <c r="N127" s="138"/>
      <c r="O127" s="113"/>
      <c r="P127" s="466"/>
      <c r="Q127" s="113"/>
      <c r="R127" s="373">
        <f t="shared" ref="R127:R187" si="45">M127+O127+Q127</f>
        <v>67050</v>
      </c>
      <c r="S127" s="373">
        <f>R127/L127</f>
        <v>15658.570761326482</v>
      </c>
      <c r="T127" s="363"/>
    </row>
    <row r="128" spans="1:21" s="140" customFormat="1" ht="54" customHeight="1" x14ac:dyDescent="0.3">
      <c r="A128" s="174">
        <v>3</v>
      </c>
      <c r="B128" s="175" t="s">
        <v>119</v>
      </c>
      <c r="C128" s="186"/>
      <c r="D128" s="186"/>
      <c r="E128" s="185" t="s">
        <v>118</v>
      </c>
      <c r="F128" s="187">
        <v>3</v>
      </c>
      <c r="G128" s="186">
        <v>7321</v>
      </c>
      <c r="H128" s="182"/>
      <c r="I128" s="181">
        <v>2</v>
      </c>
      <c r="J128" s="182">
        <v>12</v>
      </c>
      <c r="K128" s="73" t="s">
        <v>76</v>
      </c>
      <c r="L128" s="180">
        <v>8.86</v>
      </c>
      <c r="M128" s="488">
        <v>131608</v>
      </c>
      <c r="N128" s="184"/>
      <c r="O128" s="184"/>
      <c r="P128" s="77"/>
      <c r="Q128" s="77"/>
      <c r="R128" s="373">
        <f t="shared" si="45"/>
        <v>131608</v>
      </c>
      <c r="S128" s="373">
        <f>R128/L128</f>
        <v>14854.176072234764</v>
      </c>
      <c r="T128" s="188"/>
    </row>
    <row r="129" spans="1:20" s="140" customFormat="1" ht="54" customHeight="1" x14ac:dyDescent="0.3">
      <c r="A129" s="174">
        <v>4</v>
      </c>
      <c r="B129" s="189" t="s">
        <v>120</v>
      </c>
      <c r="C129" s="185"/>
      <c r="D129" s="185"/>
      <c r="E129" s="185" t="s">
        <v>118</v>
      </c>
      <c r="F129" s="187">
        <v>3</v>
      </c>
      <c r="G129" s="185">
        <v>1360</v>
      </c>
      <c r="H129" s="190"/>
      <c r="I129" s="191">
        <v>2</v>
      </c>
      <c r="J129" s="182">
        <v>12</v>
      </c>
      <c r="K129" s="73" t="s">
        <v>76</v>
      </c>
      <c r="L129" s="183">
        <v>7</v>
      </c>
      <c r="M129" s="488">
        <v>67510</v>
      </c>
      <c r="N129" s="183"/>
      <c r="O129" s="183"/>
      <c r="P129" s="190"/>
      <c r="Q129" s="190"/>
      <c r="R129" s="373">
        <f t="shared" si="45"/>
        <v>67510</v>
      </c>
      <c r="S129" s="373">
        <f>R129/L129</f>
        <v>9644.2857142857138</v>
      </c>
      <c r="T129" s="192"/>
    </row>
    <row r="130" spans="1:20" s="140" customFormat="1" ht="54" customHeight="1" x14ac:dyDescent="0.3">
      <c r="A130" s="559">
        <v>5</v>
      </c>
      <c r="B130" s="592" t="s">
        <v>121</v>
      </c>
      <c r="C130" s="593"/>
      <c r="D130" s="593"/>
      <c r="E130" s="593" t="s">
        <v>122</v>
      </c>
      <c r="F130" s="594">
        <v>5</v>
      </c>
      <c r="G130" s="593" t="s">
        <v>75</v>
      </c>
      <c r="H130" s="595"/>
      <c r="I130" s="564">
        <v>2</v>
      </c>
      <c r="J130" s="563">
        <v>5</v>
      </c>
      <c r="K130" s="596" t="s">
        <v>76</v>
      </c>
      <c r="L130" s="597">
        <v>10</v>
      </c>
      <c r="M130" s="598">
        <v>132738.723</v>
      </c>
      <c r="N130" s="597">
        <v>15.9</v>
      </c>
      <c r="O130" s="597">
        <f>15.9*13273.872</f>
        <v>211054.56479999999</v>
      </c>
      <c r="P130" s="595"/>
      <c r="Q130" s="595"/>
      <c r="R130" s="568">
        <f>M130+O130+Q130</f>
        <v>343793.28779999999</v>
      </c>
      <c r="S130" s="568">
        <f>R130/(L130+N130)</f>
        <v>13273.872115830116</v>
      </c>
      <c r="T130" s="599" t="s">
        <v>368</v>
      </c>
    </row>
    <row r="131" spans="1:20" s="140" customFormat="1" ht="43.15" customHeight="1" x14ac:dyDescent="0.3">
      <c r="A131" s="174">
        <v>6</v>
      </c>
      <c r="B131" s="189" t="s">
        <v>123</v>
      </c>
      <c r="C131" s="185"/>
      <c r="D131" s="185"/>
      <c r="E131" s="185"/>
      <c r="F131" s="187">
        <v>3</v>
      </c>
      <c r="G131" s="187">
        <v>6540</v>
      </c>
      <c r="H131" s="182"/>
      <c r="I131" s="181">
        <v>2</v>
      </c>
      <c r="J131" s="182">
        <v>12</v>
      </c>
      <c r="K131" s="42">
        <v>2022</v>
      </c>
      <c r="L131" s="183"/>
      <c r="M131" s="183"/>
      <c r="N131" s="183">
        <v>3.1</v>
      </c>
      <c r="O131" s="193">
        <v>40505</v>
      </c>
      <c r="P131" s="182"/>
      <c r="Q131" s="190"/>
      <c r="R131" s="373">
        <f t="shared" si="45"/>
        <v>40505</v>
      </c>
      <c r="S131" s="373">
        <f>R131/N131</f>
        <v>13066.129032258064</v>
      </c>
      <c r="T131" s="192"/>
    </row>
    <row r="132" spans="1:20" s="362" customFormat="1" ht="47.45" customHeight="1" x14ac:dyDescent="0.3">
      <c r="A132" s="174">
        <v>7</v>
      </c>
      <c r="B132" s="194" t="s">
        <v>124</v>
      </c>
      <c r="C132" s="185"/>
      <c r="D132" s="185"/>
      <c r="E132" s="185"/>
      <c r="F132" s="187">
        <v>3</v>
      </c>
      <c r="G132" s="187">
        <v>3604</v>
      </c>
      <c r="H132" s="190"/>
      <c r="I132" s="181">
        <v>2</v>
      </c>
      <c r="J132" s="182">
        <v>12</v>
      </c>
      <c r="K132" s="42">
        <v>2022</v>
      </c>
      <c r="L132" s="183"/>
      <c r="M132" s="183"/>
      <c r="N132" s="183">
        <v>1.7</v>
      </c>
      <c r="O132" s="193">
        <v>27886</v>
      </c>
      <c r="P132" s="190"/>
      <c r="Q132" s="190"/>
      <c r="R132" s="373">
        <f t="shared" si="45"/>
        <v>27886</v>
      </c>
      <c r="S132" s="373">
        <f>R132/N132</f>
        <v>16403.529411764706</v>
      </c>
      <c r="T132" s="364"/>
    </row>
    <row r="133" spans="1:20" s="140" customFormat="1" ht="51.6" customHeight="1" x14ac:dyDescent="0.3">
      <c r="A133" s="132">
        <v>8</v>
      </c>
      <c r="B133" s="194" t="s">
        <v>125</v>
      </c>
      <c r="C133" s="185"/>
      <c r="D133" s="185"/>
      <c r="E133" s="185"/>
      <c r="F133" s="187">
        <v>3</v>
      </c>
      <c r="G133" s="187">
        <v>2606</v>
      </c>
      <c r="H133" s="190"/>
      <c r="I133" s="181">
        <v>2</v>
      </c>
      <c r="J133" s="182">
        <v>12</v>
      </c>
      <c r="K133" s="42">
        <v>2022</v>
      </c>
      <c r="L133" s="183"/>
      <c r="M133" s="183"/>
      <c r="N133" s="183">
        <v>5.2</v>
      </c>
      <c r="O133" s="193">
        <v>85957</v>
      </c>
      <c r="P133" s="190"/>
      <c r="Q133" s="190"/>
      <c r="R133" s="373">
        <f t="shared" si="45"/>
        <v>85957</v>
      </c>
      <c r="S133" s="373">
        <f>R133/N133</f>
        <v>16530.192307692309</v>
      </c>
      <c r="T133" s="192"/>
    </row>
    <row r="134" spans="1:20" s="140" customFormat="1" ht="37.9" customHeight="1" x14ac:dyDescent="0.3">
      <c r="A134" s="174">
        <v>9</v>
      </c>
      <c r="B134" s="194" t="s">
        <v>126</v>
      </c>
      <c r="C134" s="185"/>
      <c r="D134" s="185"/>
      <c r="E134" s="185"/>
      <c r="F134" s="187">
        <v>3</v>
      </c>
      <c r="G134" s="187">
        <v>830</v>
      </c>
      <c r="H134" s="190"/>
      <c r="I134" s="181">
        <v>2</v>
      </c>
      <c r="J134" s="182">
        <v>12</v>
      </c>
      <c r="K134" s="42">
        <v>2022</v>
      </c>
      <c r="L134" s="183"/>
      <c r="M134" s="183"/>
      <c r="N134" s="183">
        <v>6.1</v>
      </c>
      <c r="O134" s="193">
        <v>95144</v>
      </c>
      <c r="P134" s="190"/>
      <c r="Q134" s="190"/>
      <c r="R134" s="22">
        <f t="shared" si="45"/>
        <v>95144</v>
      </c>
      <c r="S134" s="22">
        <f>R134/N134</f>
        <v>15597.377049180328</v>
      </c>
      <c r="T134" s="192"/>
    </row>
    <row r="135" spans="1:20" s="140" customFormat="1" ht="47.45" customHeight="1" x14ac:dyDescent="0.3">
      <c r="A135" s="174">
        <v>10</v>
      </c>
      <c r="B135" s="189" t="s">
        <v>127</v>
      </c>
      <c r="C135" s="185"/>
      <c r="D135" s="185"/>
      <c r="E135" s="185"/>
      <c r="F135" s="187">
        <v>3</v>
      </c>
      <c r="G135" s="187">
        <v>6540</v>
      </c>
      <c r="H135" s="190"/>
      <c r="I135" s="181">
        <v>2</v>
      </c>
      <c r="J135" s="182">
        <v>12</v>
      </c>
      <c r="K135" s="42">
        <v>2023</v>
      </c>
      <c r="L135" s="183"/>
      <c r="M135" s="183"/>
      <c r="N135" s="183"/>
      <c r="O135" s="183"/>
      <c r="P135" s="183">
        <v>8.1999999999999993</v>
      </c>
      <c r="Q135" s="193">
        <v>114321</v>
      </c>
      <c r="R135" s="22">
        <f t="shared" si="45"/>
        <v>114321</v>
      </c>
      <c r="S135" s="22">
        <f>R135/P135</f>
        <v>13941.58536585366</v>
      </c>
      <c r="T135" s="192"/>
    </row>
    <row r="136" spans="1:20" s="140" customFormat="1" ht="49.9" customHeight="1" x14ac:dyDescent="0.3">
      <c r="A136" s="132">
        <v>11</v>
      </c>
      <c r="B136" s="194" t="s">
        <v>128</v>
      </c>
      <c r="C136" s="185"/>
      <c r="D136" s="185"/>
      <c r="E136" s="185"/>
      <c r="F136" s="187">
        <v>3</v>
      </c>
      <c r="G136" s="187">
        <v>2606</v>
      </c>
      <c r="H136" s="190"/>
      <c r="I136" s="181">
        <v>2</v>
      </c>
      <c r="J136" s="182">
        <v>12</v>
      </c>
      <c r="K136" s="42">
        <v>2023</v>
      </c>
      <c r="L136" s="183"/>
      <c r="M136" s="183"/>
      <c r="N136" s="183"/>
      <c r="O136" s="183"/>
      <c r="P136" s="190">
        <v>9.1999999999999993</v>
      </c>
      <c r="Q136" s="195">
        <v>220167</v>
      </c>
      <c r="R136" s="22">
        <f t="shared" si="45"/>
        <v>220167</v>
      </c>
      <c r="S136" s="22">
        <f>R136/P136</f>
        <v>23931.195652173916</v>
      </c>
      <c r="T136" s="192"/>
    </row>
    <row r="137" spans="1:20" s="140" customFormat="1" ht="47.45" customHeight="1" x14ac:dyDescent="0.3">
      <c r="A137" s="174">
        <v>12</v>
      </c>
      <c r="B137" s="194" t="s">
        <v>129</v>
      </c>
      <c r="C137" s="185"/>
      <c r="D137" s="185"/>
      <c r="E137" s="185"/>
      <c r="F137" s="187">
        <v>5</v>
      </c>
      <c r="G137" s="187">
        <v>459</v>
      </c>
      <c r="H137" s="190"/>
      <c r="I137" s="181">
        <v>2</v>
      </c>
      <c r="J137" s="182">
        <v>5</v>
      </c>
      <c r="K137" s="42">
        <v>2023</v>
      </c>
      <c r="L137" s="183"/>
      <c r="M137" s="183"/>
      <c r="N137" s="183"/>
      <c r="O137" s="183"/>
      <c r="P137" s="190">
        <v>9.1</v>
      </c>
      <c r="Q137" s="195">
        <v>300000</v>
      </c>
      <c r="R137" s="373">
        <f t="shared" si="45"/>
        <v>300000</v>
      </c>
      <c r="S137" s="373">
        <f>R137/P137</f>
        <v>32967.032967032967</v>
      </c>
      <c r="T137" s="192"/>
    </row>
    <row r="138" spans="1:20" s="451" customFormat="1" ht="36" customHeight="1" x14ac:dyDescent="0.3">
      <c r="A138" s="439"/>
      <c r="B138" s="441" t="s">
        <v>130</v>
      </c>
      <c r="C138" s="441"/>
      <c r="D138" s="442"/>
      <c r="E138" s="442"/>
      <c r="F138" s="442"/>
      <c r="G138" s="442"/>
      <c r="H138" s="442"/>
      <c r="I138" s="442"/>
      <c r="J138" s="442"/>
      <c r="K138" s="442"/>
      <c r="L138" s="443" t="s">
        <v>21</v>
      </c>
      <c r="M138" s="443">
        <f>SUBTOTAL(9,M139:M188)</f>
        <v>59917.5</v>
      </c>
      <c r="N138" s="443" t="s">
        <v>21</v>
      </c>
      <c r="O138" s="443">
        <f>SUBTOTAL(9,O139:O188)</f>
        <v>36643.599999999999</v>
      </c>
      <c r="P138" s="443" t="s">
        <v>21</v>
      </c>
      <c r="Q138" s="443">
        <v>0</v>
      </c>
      <c r="R138" s="443">
        <v>0</v>
      </c>
      <c r="S138" s="448"/>
      <c r="T138" s="480"/>
    </row>
    <row r="139" spans="1:20" s="140" customFormat="1" ht="42.75" customHeight="1" x14ac:dyDescent="0.3">
      <c r="A139" s="18">
        <v>1</v>
      </c>
      <c r="B139" s="189" t="s">
        <v>123</v>
      </c>
      <c r="C139" s="167"/>
      <c r="D139" s="167"/>
      <c r="E139" s="196" t="s">
        <v>79</v>
      </c>
      <c r="F139" s="187">
        <v>3</v>
      </c>
      <c r="G139" s="167"/>
      <c r="H139" s="167"/>
      <c r="I139" s="181">
        <v>2</v>
      </c>
      <c r="J139" s="167"/>
      <c r="K139" s="167"/>
      <c r="L139" s="42" t="s">
        <v>21</v>
      </c>
      <c r="M139" s="76">
        <f>N131*270</f>
        <v>837</v>
      </c>
      <c r="N139" s="42" t="s">
        <v>21</v>
      </c>
      <c r="O139" s="197"/>
      <c r="P139" s="42" t="s">
        <v>21</v>
      </c>
      <c r="Q139" s="197"/>
      <c r="R139" s="22">
        <f t="shared" si="45"/>
        <v>837</v>
      </c>
      <c r="S139" s="42" t="s">
        <v>21</v>
      </c>
      <c r="T139" s="173"/>
    </row>
    <row r="140" spans="1:20" s="362" customFormat="1" ht="45" customHeight="1" x14ac:dyDescent="0.3">
      <c r="A140" s="18">
        <f>A139+1</f>
        <v>2</v>
      </c>
      <c r="B140" s="194" t="s">
        <v>124</v>
      </c>
      <c r="C140" s="167"/>
      <c r="D140" s="167"/>
      <c r="E140" s="196" t="s">
        <v>74</v>
      </c>
      <c r="F140" s="187">
        <v>3</v>
      </c>
      <c r="G140" s="167"/>
      <c r="H140" s="167"/>
      <c r="I140" s="181">
        <v>2</v>
      </c>
      <c r="J140" s="167"/>
      <c r="K140" s="167"/>
      <c r="L140" s="42" t="s">
        <v>21</v>
      </c>
      <c r="M140" s="76">
        <f>N132*270</f>
        <v>459</v>
      </c>
      <c r="N140" s="42" t="s">
        <v>21</v>
      </c>
      <c r="O140" s="197"/>
      <c r="P140" s="42" t="s">
        <v>21</v>
      </c>
      <c r="Q140" s="197"/>
      <c r="R140" s="373">
        <f t="shared" si="45"/>
        <v>459</v>
      </c>
      <c r="S140" s="42" t="s">
        <v>21</v>
      </c>
      <c r="T140" s="361"/>
    </row>
    <row r="141" spans="1:20" s="140" customFormat="1" ht="49.5" x14ac:dyDescent="0.3">
      <c r="A141" s="18">
        <f>A140+1</f>
        <v>3</v>
      </c>
      <c r="B141" s="194" t="s">
        <v>125</v>
      </c>
      <c r="C141" s="167"/>
      <c r="D141" s="167"/>
      <c r="E141" s="196" t="s">
        <v>74</v>
      </c>
      <c r="F141" s="187">
        <v>3</v>
      </c>
      <c r="G141" s="167"/>
      <c r="H141" s="167"/>
      <c r="I141" s="181">
        <v>2</v>
      </c>
      <c r="J141" s="167"/>
      <c r="K141" s="167"/>
      <c r="L141" s="42" t="s">
        <v>21</v>
      </c>
      <c r="M141" s="76">
        <f>N133*270</f>
        <v>1404</v>
      </c>
      <c r="N141" s="42" t="s">
        <v>21</v>
      </c>
      <c r="O141" s="197"/>
      <c r="P141" s="42" t="s">
        <v>21</v>
      </c>
      <c r="Q141" s="197"/>
      <c r="R141" s="22">
        <f t="shared" si="45"/>
        <v>1404</v>
      </c>
      <c r="S141" s="42" t="s">
        <v>21</v>
      </c>
      <c r="T141" s="173"/>
    </row>
    <row r="142" spans="1:20" s="140" customFormat="1" ht="33" x14ac:dyDescent="0.3">
      <c r="A142" s="18">
        <f t="shared" ref="A142:A187" si="46">A141+1</f>
        <v>4</v>
      </c>
      <c r="B142" s="194" t="s">
        <v>126</v>
      </c>
      <c r="C142" s="167"/>
      <c r="D142" s="167"/>
      <c r="E142" s="196" t="s">
        <v>74</v>
      </c>
      <c r="F142" s="187">
        <v>3</v>
      </c>
      <c r="G142" s="167"/>
      <c r="H142" s="167"/>
      <c r="I142" s="181">
        <v>2</v>
      </c>
      <c r="J142" s="167"/>
      <c r="K142" s="167"/>
      <c r="L142" s="42" t="s">
        <v>21</v>
      </c>
      <c r="M142" s="76">
        <f>N134*270</f>
        <v>1647</v>
      </c>
      <c r="N142" s="42" t="s">
        <v>21</v>
      </c>
      <c r="O142" s="197"/>
      <c r="P142" s="42" t="s">
        <v>21</v>
      </c>
      <c r="Q142" s="197"/>
      <c r="R142" s="22">
        <f t="shared" si="45"/>
        <v>1647</v>
      </c>
      <c r="S142" s="42" t="s">
        <v>21</v>
      </c>
      <c r="T142" s="173"/>
    </row>
    <row r="143" spans="1:20" s="140" customFormat="1" ht="37.5" x14ac:dyDescent="0.3">
      <c r="A143" s="18">
        <f t="shared" si="46"/>
        <v>5</v>
      </c>
      <c r="B143" s="198" t="s">
        <v>132</v>
      </c>
      <c r="C143" s="199"/>
      <c r="D143" s="199"/>
      <c r="E143" s="200" t="s">
        <v>133</v>
      </c>
      <c r="F143" s="167"/>
      <c r="G143" s="167"/>
      <c r="H143" s="167"/>
      <c r="I143" s="167"/>
      <c r="J143" s="167"/>
      <c r="K143" s="167"/>
      <c r="L143" s="42" t="s">
        <v>21</v>
      </c>
      <c r="M143" s="76">
        <f>8*230</f>
        <v>1840</v>
      </c>
      <c r="N143" s="42" t="s">
        <v>21</v>
      </c>
      <c r="O143" s="197"/>
      <c r="P143" s="42" t="s">
        <v>21</v>
      </c>
      <c r="Q143" s="197"/>
      <c r="R143" s="22">
        <f t="shared" ref="R143:R165" si="47">M143+O143+Q143</f>
        <v>1840</v>
      </c>
      <c r="S143" s="42" t="s">
        <v>21</v>
      </c>
      <c r="T143" s="173"/>
    </row>
    <row r="144" spans="1:20" s="140" customFormat="1" ht="75" x14ac:dyDescent="0.3">
      <c r="A144" s="18">
        <f t="shared" si="46"/>
        <v>6</v>
      </c>
      <c r="B144" s="201" t="s">
        <v>134</v>
      </c>
      <c r="C144" s="199"/>
      <c r="D144" s="199"/>
      <c r="E144" s="200" t="s">
        <v>135</v>
      </c>
      <c r="F144" s="167"/>
      <c r="G144" s="167"/>
      <c r="H144" s="167"/>
      <c r="I144" s="167"/>
      <c r="J144" s="167"/>
      <c r="K144" s="167"/>
      <c r="L144" s="42" t="s">
        <v>21</v>
      </c>
      <c r="M144" s="76">
        <v>450</v>
      </c>
      <c r="N144" s="42" t="s">
        <v>21</v>
      </c>
      <c r="O144" s="197"/>
      <c r="P144" s="42" t="s">
        <v>21</v>
      </c>
      <c r="Q144" s="197"/>
      <c r="R144" s="22">
        <f t="shared" si="47"/>
        <v>450</v>
      </c>
      <c r="S144" s="42" t="s">
        <v>21</v>
      </c>
      <c r="T144" s="173"/>
    </row>
    <row r="145" spans="1:20" s="140" customFormat="1" ht="37.5" x14ac:dyDescent="0.3">
      <c r="A145" s="18">
        <f t="shared" si="46"/>
        <v>7</v>
      </c>
      <c r="B145" s="201" t="s">
        <v>137</v>
      </c>
      <c r="C145" s="199"/>
      <c r="D145" s="199"/>
      <c r="E145" s="200" t="s">
        <v>101</v>
      </c>
      <c r="F145" s="167"/>
      <c r="G145" s="167"/>
      <c r="H145" s="167"/>
      <c r="I145" s="167"/>
      <c r="J145" s="167"/>
      <c r="K145" s="167"/>
      <c r="L145" s="42" t="s">
        <v>21</v>
      </c>
      <c r="M145" s="76">
        <f>230*13</f>
        <v>2990</v>
      </c>
      <c r="N145" s="42" t="s">
        <v>21</v>
      </c>
      <c r="O145" s="197"/>
      <c r="P145" s="42" t="s">
        <v>21</v>
      </c>
      <c r="Q145" s="197"/>
      <c r="R145" s="22">
        <f t="shared" si="47"/>
        <v>2990</v>
      </c>
      <c r="S145" s="42" t="s">
        <v>21</v>
      </c>
      <c r="T145" s="173"/>
    </row>
    <row r="146" spans="1:20" s="140" customFormat="1" ht="37.5" x14ac:dyDescent="0.3">
      <c r="A146" s="18">
        <f t="shared" si="46"/>
        <v>8</v>
      </c>
      <c r="B146" s="201" t="s">
        <v>138</v>
      </c>
      <c r="C146" s="199"/>
      <c r="D146" s="199"/>
      <c r="E146" s="200" t="s">
        <v>79</v>
      </c>
      <c r="F146" s="167"/>
      <c r="G146" s="167"/>
      <c r="H146" s="167"/>
      <c r="I146" s="167"/>
      <c r="J146" s="167"/>
      <c r="K146" s="167"/>
      <c r="L146" s="42" t="s">
        <v>21</v>
      </c>
      <c r="M146" s="76">
        <f>270*9</f>
        <v>2430</v>
      </c>
      <c r="N146" s="42" t="s">
        <v>21</v>
      </c>
      <c r="O146" s="197"/>
      <c r="P146" s="42" t="s">
        <v>21</v>
      </c>
      <c r="Q146" s="197"/>
      <c r="R146" s="22">
        <f t="shared" si="47"/>
        <v>2430</v>
      </c>
      <c r="S146" s="42" t="s">
        <v>21</v>
      </c>
      <c r="T146" s="173"/>
    </row>
    <row r="147" spans="1:20" s="140" customFormat="1" ht="37.5" x14ac:dyDescent="0.3">
      <c r="A147" s="18">
        <f t="shared" si="46"/>
        <v>9</v>
      </c>
      <c r="B147" s="201" t="s">
        <v>139</v>
      </c>
      <c r="C147" s="199"/>
      <c r="D147" s="199"/>
      <c r="E147" s="200" t="s">
        <v>82</v>
      </c>
      <c r="F147" s="167"/>
      <c r="G147" s="167"/>
      <c r="H147" s="167"/>
      <c r="I147" s="167"/>
      <c r="J147" s="167"/>
      <c r="K147" s="167"/>
      <c r="L147" s="42" t="s">
        <v>21</v>
      </c>
      <c r="M147" s="76">
        <f>270*7.75</f>
        <v>2092.5</v>
      </c>
      <c r="N147" s="42" t="s">
        <v>21</v>
      </c>
      <c r="O147" s="197"/>
      <c r="P147" s="42" t="s">
        <v>21</v>
      </c>
      <c r="Q147" s="197"/>
      <c r="R147" s="22">
        <f t="shared" si="47"/>
        <v>2092.5</v>
      </c>
      <c r="S147" s="42" t="s">
        <v>21</v>
      </c>
      <c r="T147" s="173"/>
    </row>
    <row r="148" spans="1:20" s="140" customFormat="1" ht="37.5" x14ac:dyDescent="0.3">
      <c r="A148" s="18">
        <f t="shared" si="46"/>
        <v>10</v>
      </c>
      <c r="B148" s="201" t="s">
        <v>140</v>
      </c>
      <c r="C148" s="199"/>
      <c r="D148" s="199"/>
      <c r="E148" s="200" t="s">
        <v>39</v>
      </c>
      <c r="F148" s="167"/>
      <c r="G148" s="167"/>
      <c r="H148" s="167"/>
      <c r="I148" s="167"/>
      <c r="J148" s="167"/>
      <c r="K148" s="167"/>
      <c r="L148" s="42" t="s">
        <v>21</v>
      </c>
      <c r="M148" s="76">
        <f>270*2</f>
        <v>540</v>
      </c>
      <c r="N148" s="42" t="s">
        <v>21</v>
      </c>
      <c r="O148" s="197"/>
      <c r="P148" s="42" t="s">
        <v>21</v>
      </c>
      <c r="Q148" s="197"/>
      <c r="R148" s="22">
        <f t="shared" si="47"/>
        <v>540</v>
      </c>
      <c r="S148" s="42" t="s">
        <v>21</v>
      </c>
      <c r="T148" s="173"/>
    </row>
    <row r="149" spans="1:20" s="140" customFormat="1" ht="56.25" x14ac:dyDescent="0.3">
      <c r="A149" s="18">
        <f t="shared" si="46"/>
        <v>11</v>
      </c>
      <c r="B149" s="202" t="s">
        <v>142</v>
      </c>
      <c r="C149" s="199"/>
      <c r="D149" s="199"/>
      <c r="E149" s="200" t="s">
        <v>39</v>
      </c>
      <c r="F149" s="167"/>
      <c r="G149" s="167"/>
      <c r="H149" s="167"/>
      <c r="I149" s="167"/>
      <c r="J149" s="167"/>
      <c r="K149" s="167"/>
      <c r="L149" s="42" t="s">
        <v>21</v>
      </c>
      <c r="M149" s="76">
        <f>220*2</f>
        <v>440</v>
      </c>
      <c r="N149" s="42" t="s">
        <v>21</v>
      </c>
      <c r="O149" s="197"/>
      <c r="P149" s="42" t="s">
        <v>21</v>
      </c>
      <c r="Q149" s="197"/>
      <c r="R149" s="22">
        <f t="shared" si="47"/>
        <v>440</v>
      </c>
      <c r="S149" s="42" t="s">
        <v>21</v>
      </c>
      <c r="T149" s="173"/>
    </row>
    <row r="150" spans="1:20" s="140" customFormat="1" ht="56.25" x14ac:dyDescent="0.3">
      <c r="A150" s="18">
        <f t="shared" si="46"/>
        <v>12</v>
      </c>
      <c r="B150" s="202" t="s">
        <v>143</v>
      </c>
      <c r="C150" s="199"/>
      <c r="D150" s="199"/>
      <c r="E150" s="200" t="s">
        <v>89</v>
      </c>
      <c r="F150" s="167"/>
      <c r="G150" s="167"/>
      <c r="H150" s="167"/>
      <c r="I150" s="167"/>
      <c r="J150" s="167"/>
      <c r="K150" s="167"/>
      <c r="L150" s="42" t="s">
        <v>21</v>
      </c>
      <c r="M150" s="76">
        <f>230*10</f>
        <v>2300</v>
      </c>
      <c r="N150" s="42" t="s">
        <v>21</v>
      </c>
      <c r="O150" s="197"/>
      <c r="P150" s="42" t="s">
        <v>21</v>
      </c>
      <c r="Q150" s="197"/>
      <c r="R150" s="22">
        <f t="shared" si="47"/>
        <v>2300</v>
      </c>
      <c r="S150" s="42" t="s">
        <v>21</v>
      </c>
      <c r="T150" s="173"/>
    </row>
    <row r="151" spans="1:20" s="140" customFormat="1" ht="37.5" x14ac:dyDescent="0.3">
      <c r="A151" s="18">
        <f t="shared" si="46"/>
        <v>13</v>
      </c>
      <c r="B151" s="202" t="s">
        <v>144</v>
      </c>
      <c r="C151" s="199"/>
      <c r="D151" s="199"/>
      <c r="E151" s="200" t="s">
        <v>145</v>
      </c>
      <c r="F151" s="167"/>
      <c r="G151" s="167"/>
      <c r="H151" s="167"/>
      <c r="I151" s="167"/>
      <c r="J151" s="167"/>
      <c r="K151" s="167"/>
      <c r="L151" s="42" t="s">
        <v>21</v>
      </c>
      <c r="M151" s="76">
        <f>220*19.4</f>
        <v>4268</v>
      </c>
      <c r="N151" s="42" t="s">
        <v>21</v>
      </c>
      <c r="O151" s="197"/>
      <c r="P151" s="42" t="s">
        <v>21</v>
      </c>
      <c r="Q151" s="197"/>
      <c r="R151" s="22">
        <f t="shared" si="47"/>
        <v>4268</v>
      </c>
      <c r="S151" s="42" t="s">
        <v>21</v>
      </c>
      <c r="T151" s="173"/>
    </row>
    <row r="152" spans="1:20" s="140" customFormat="1" ht="56.25" x14ac:dyDescent="0.3">
      <c r="A152" s="18">
        <f t="shared" si="46"/>
        <v>14</v>
      </c>
      <c r="B152" s="203" t="s">
        <v>146</v>
      </c>
      <c r="C152" s="199"/>
      <c r="D152" s="199"/>
      <c r="E152" s="200" t="s">
        <v>89</v>
      </c>
      <c r="F152" s="167"/>
      <c r="G152" s="167"/>
      <c r="H152" s="167"/>
      <c r="I152" s="167"/>
      <c r="J152" s="167"/>
      <c r="K152" s="167"/>
      <c r="L152" s="42" t="s">
        <v>21</v>
      </c>
      <c r="M152" s="76">
        <f>210*26</f>
        <v>5460</v>
      </c>
      <c r="N152" s="42" t="s">
        <v>21</v>
      </c>
      <c r="O152" s="197"/>
      <c r="P152" s="42" t="s">
        <v>21</v>
      </c>
      <c r="Q152" s="197"/>
      <c r="R152" s="22">
        <f t="shared" si="47"/>
        <v>5460</v>
      </c>
      <c r="S152" s="42" t="s">
        <v>21</v>
      </c>
      <c r="T152" s="173"/>
    </row>
    <row r="153" spans="1:20" s="140" customFormat="1" ht="37.5" x14ac:dyDescent="0.3">
      <c r="A153" s="18">
        <f t="shared" si="46"/>
        <v>15</v>
      </c>
      <c r="B153" s="205" t="s">
        <v>149</v>
      </c>
      <c r="C153" s="199"/>
      <c r="D153" s="199"/>
      <c r="E153" s="200" t="s">
        <v>101</v>
      </c>
      <c r="F153" s="167"/>
      <c r="G153" s="167"/>
      <c r="H153" s="167"/>
      <c r="I153" s="167"/>
      <c r="J153" s="167"/>
      <c r="K153" s="167"/>
      <c r="L153" s="42" t="s">
        <v>21</v>
      </c>
      <c r="M153" s="76">
        <f>210*10</f>
        <v>2100</v>
      </c>
      <c r="N153" s="42" t="s">
        <v>21</v>
      </c>
      <c r="O153" s="76"/>
      <c r="P153" s="42" t="s">
        <v>21</v>
      </c>
      <c r="Q153" s="197"/>
      <c r="R153" s="22">
        <f t="shared" si="47"/>
        <v>2100</v>
      </c>
      <c r="S153" s="42" t="s">
        <v>21</v>
      </c>
      <c r="T153" s="173"/>
    </row>
    <row r="154" spans="1:20" s="140" customFormat="1" ht="56.25" x14ac:dyDescent="0.3">
      <c r="A154" s="18">
        <f t="shared" si="46"/>
        <v>16</v>
      </c>
      <c r="B154" s="204" t="s">
        <v>150</v>
      </c>
      <c r="C154" s="199"/>
      <c r="D154" s="199"/>
      <c r="E154" s="200" t="s">
        <v>101</v>
      </c>
      <c r="F154" s="167"/>
      <c r="G154" s="167"/>
      <c r="H154" s="167"/>
      <c r="I154" s="167"/>
      <c r="J154" s="167"/>
      <c r="K154" s="167"/>
      <c r="L154" s="42" t="s">
        <v>21</v>
      </c>
      <c r="M154" s="76">
        <f>260*10</f>
        <v>2600</v>
      </c>
      <c r="N154" s="42" t="s">
        <v>21</v>
      </c>
      <c r="O154" s="76"/>
      <c r="P154" s="42" t="s">
        <v>21</v>
      </c>
      <c r="Q154" s="197"/>
      <c r="R154" s="22">
        <f t="shared" si="47"/>
        <v>2600</v>
      </c>
      <c r="S154" s="42" t="s">
        <v>21</v>
      </c>
      <c r="T154" s="173"/>
    </row>
    <row r="155" spans="1:20" s="140" customFormat="1" ht="22.5" x14ac:dyDescent="0.3">
      <c r="A155" s="18">
        <f t="shared" si="46"/>
        <v>17</v>
      </c>
      <c r="B155" s="204" t="s">
        <v>151</v>
      </c>
      <c r="C155" s="199"/>
      <c r="D155" s="199"/>
      <c r="E155" s="200" t="s">
        <v>89</v>
      </c>
      <c r="F155" s="167"/>
      <c r="G155" s="167"/>
      <c r="H155" s="167"/>
      <c r="I155" s="167"/>
      <c r="J155" s="167"/>
      <c r="K155" s="167"/>
      <c r="L155" s="42" t="s">
        <v>21</v>
      </c>
      <c r="M155" s="76">
        <f>2.6*260</f>
        <v>676</v>
      </c>
      <c r="N155" s="42" t="s">
        <v>21</v>
      </c>
      <c r="O155" s="76"/>
      <c r="P155" s="42" t="s">
        <v>21</v>
      </c>
      <c r="Q155" s="197"/>
      <c r="R155" s="22">
        <f t="shared" si="47"/>
        <v>676</v>
      </c>
      <c r="S155" s="42" t="s">
        <v>21</v>
      </c>
      <c r="T155" s="173"/>
    </row>
    <row r="156" spans="1:20" s="140" customFormat="1" ht="37.5" x14ac:dyDescent="0.3">
      <c r="A156" s="18">
        <f t="shared" si="46"/>
        <v>18</v>
      </c>
      <c r="B156" s="198" t="s">
        <v>153</v>
      </c>
      <c r="C156" s="199"/>
      <c r="D156" s="199"/>
      <c r="E156" s="200" t="s">
        <v>89</v>
      </c>
      <c r="F156" s="167"/>
      <c r="G156" s="167"/>
      <c r="H156" s="167"/>
      <c r="I156" s="167"/>
      <c r="J156" s="167"/>
      <c r="K156" s="167"/>
      <c r="L156" s="42" t="s">
        <v>21</v>
      </c>
      <c r="M156" s="76">
        <f>15.3*260</f>
        <v>3978</v>
      </c>
      <c r="N156" s="42" t="s">
        <v>21</v>
      </c>
      <c r="O156" s="76"/>
      <c r="P156" s="42" t="s">
        <v>21</v>
      </c>
      <c r="Q156" s="197"/>
      <c r="R156" s="22">
        <f t="shared" si="47"/>
        <v>3978</v>
      </c>
      <c r="S156" s="42" t="s">
        <v>21</v>
      </c>
      <c r="T156" s="173"/>
    </row>
    <row r="157" spans="1:20" s="140" customFormat="1" ht="37.5" x14ac:dyDescent="0.3">
      <c r="A157" s="18">
        <f t="shared" si="46"/>
        <v>19</v>
      </c>
      <c r="B157" s="205" t="s">
        <v>154</v>
      </c>
      <c r="C157" s="199"/>
      <c r="D157" s="199"/>
      <c r="E157" s="200" t="s">
        <v>89</v>
      </c>
      <c r="F157" s="167"/>
      <c r="G157" s="167"/>
      <c r="H157" s="167"/>
      <c r="I157" s="167"/>
      <c r="J157" s="167"/>
      <c r="K157" s="167"/>
      <c r="L157" s="42" t="s">
        <v>21</v>
      </c>
      <c r="M157" s="76">
        <f>9.7*230</f>
        <v>2231</v>
      </c>
      <c r="N157" s="42" t="s">
        <v>21</v>
      </c>
      <c r="O157" s="76"/>
      <c r="P157" s="42" t="s">
        <v>21</v>
      </c>
      <c r="Q157" s="197"/>
      <c r="R157" s="22">
        <f t="shared" si="47"/>
        <v>2231</v>
      </c>
      <c r="S157" s="42" t="s">
        <v>21</v>
      </c>
      <c r="T157" s="173"/>
    </row>
    <row r="158" spans="1:20" s="140" customFormat="1" ht="37.5" x14ac:dyDescent="0.3">
      <c r="A158" s="18">
        <f t="shared" si="46"/>
        <v>20</v>
      </c>
      <c r="B158" s="204" t="s">
        <v>156</v>
      </c>
      <c r="C158" s="199"/>
      <c r="D158" s="199"/>
      <c r="E158" s="200" t="s">
        <v>89</v>
      </c>
      <c r="F158" s="167"/>
      <c r="G158" s="167"/>
      <c r="H158" s="167"/>
      <c r="I158" s="167"/>
      <c r="J158" s="167"/>
      <c r="K158" s="167"/>
      <c r="L158" s="42" t="s">
        <v>21</v>
      </c>
      <c r="M158" s="76">
        <f>12*270</f>
        <v>3240</v>
      </c>
      <c r="N158" s="42" t="s">
        <v>21</v>
      </c>
      <c r="O158" s="76"/>
      <c r="P158" s="42" t="s">
        <v>21</v>
      </c>
      <c r="Q158" s="197"/>
      <c r="R158" s="22">
        <f t="shared" si="47"/>
        <v>3240</v>
      </c>
      <c r="S158" s="42" t="s">
        <v>21</v>
      </c>
      <c r="T158" s="173"/>
    </row>
    <row r="159" spans="1:20" s="140" customFormat="1" ht="37.5" x14ac:dyDescent="0.3">
      <c r="A159" s="18">
        <f t="shared" si="46"/>
        <v>21</v>
      </c>
      <c r="B159" s="204" t="s">
        <v>157</v>
      </c>
      <c r="C159" s="199"/>
      <c r="D159" s="199"/>
      <c r="E159" s="200" t="s">
        <v>79</v>
      </c>
      <c r="F159" s="167"/>
      <c r="G159" s="167"/>
      <c r="H159" s="167"/>
      <c r="I159" s="167"/>
      <c r="J159" s="167"/>
      <c r="K159" s="167"/>
      <c r="L159" s="42" t="s">
        <v>21</v>
      </c>
      <c r="M159" s="76">
        <f>3.5*270</f>
        <v>945</v>
      </c>
      <c r="N159" s="42" t="s">
        <v>21</v>
      </c>
      <c r="O159" s="76"/>
      <c r="P159" s="42" t="s">
        <v>21</v>
      </c>
      <c r="Q159" s="197"/>
      <c r="R159" s="22">
        <f t="shared" si="47"/>
        <v>945</v>
      </c>
      <c r="S159" s="42" t="s">
        <v>21</v>
      </c>
      <c r="T159" s="173"/>
    </row>
    <row r="160" spans="1:20" s="140" customFormat="1" ht="37.5" x14ac:dyDescent="0.3">
      <c r="A160" s="18">
        <f t="shared" si="46"/>
        <v>22</v>
      </c>
      <c r="B160" s="204" t="s">
        <v>162</v>
      </c>
      <c r="C160" s="199"/>
      <c r="D160" s="199"/>
      <c r="E160" s="248" t="s">
        <v>74</v>
      </c>
      <c r="F160" s="167"/>
      <c r="G160" s="167"/>
      <c r="H160" s="167"/>
      <c r="I160" s="167"/>
      <c r="J160" s="167"/>
      <c r="K160" s="167"/>
      <c r="L160" s="42" t="s">
        <v>21</v>
      </c>
      <c r="M160" s="76">
        <f>23*250</f>
        <v>5750</v>
      </c>
      <c r="N160" s="42" t="s">
        <v>21</v>
      </c>
      <c r="O160" s="76">
        <f>17.1*250</f>
        <v>4275</v>
      </c>
      <c r="P160" s="42" t="s">
        <v>21</v>
      </c>
      <c r="Q160" s="197"/>
      <c r="R160" s="22">
        <f t="shared" si="47"/>
        <v>10025</v>
      </c>
      <c r="S160" s="42" t="s">
        <v>21</v>
      </c>
      <c r="T160" s="135"/>
    </row>
    <row r="161" spans="1:20" s="140" customFormat="1" ht="58.5" customHeight="1" x14ac:dyDescent="0.3">
      <c r="A161" s="18">
        <f t="shared" si="46"/>
        <v>23</v>
      </c>
      <c r="B161" s="204" t="s">
        <v>159</v>
      </c>
      <c r="C161" s="199"/>
      <c r="D161" s="199"/>
      <c r="E161" s="200" t="s">
        <v>39</v>
      </c>
      <c r="F161" s="167"/>
      <c r="G161" s="167"/>
      <c r="H161" s="167"/>
      <c r="I161" s="167"/>
      <c r="J161" s="167"/>
      <c r="K161" s="167"/>
      <c r="L161" s="42" t="s">
        <v>21</v>
      </c>
      <c r="M161" s="76">
        <v>350</v>
      </c>
      <c r="N161" s="42" t="s">
        <v>21</v>
      </c>
      <c r="O161" s="76"/>
      <c r="P161" s="42" t="s">
        <v>21</v>
      </c>
      <c r="Q161" s="197"/>
      <c r="R161" s="22">
        <f t="shared" si="47"/>
        <v>350</v>
      </c>
      <c r="S161" s="42" t="s">
        <v>21</v>
      </c>
      <c r="T161" s="173"/>
    </row>
    <row r="162" spans="1:20" s="140" customFormat="1" ht="34.9" customHeight="1" x14ac:dyDescent="0.3">
      <c r="A162" s="18">
        <f t="shared" si="46"/>
        <v>24</v>
      </c>
      <c r="B162" s="206" t="s">
        <v>170</v>
      </c>
      <c r="C162" s="199"/>
      <c r="D162" s="199"/>
      <c r="E162" s="200" t="s">
        <v>89</v>
      </c>
      <c r="F162" s="167"/>
      <c r="G162" s="167"/>
      <c r="H162" s="167"/>
      <c r="I162" s="167"/>
      <c r="J162" s="167"/>
      <c r="K162" s="167"/>
      <c r="L162" s="42" t="s">
        <v>21</v>
      </c>
      <c r="M162" s="76">
        <f>26*270</f>
        <v>7020</v>
      </c>
      <c r="N162" s="42" t="s">
        <v>21</v>
      </c>
      <c r="O162" s="76"/>
      <c r="P162" s="42" t="s">
        <v>21</v>
      </c>
      <c r="Q162" s="197"/>
      <c r="R162" s="22">
        <f t="shared" si="47"/>
        <v>7020</v>
      </c>
      <c r="S162" s="42" t="s">
        <v>21</v>
      </c>
      <c r="T162" s="173"/>
    </row>
    <row r="163" spans="1:20" s="140" customFormat="1" ht="42.75" customHeight="1" x14ac:dyDescent="0.3">
      <c r="A163" s="18">
        <f t="shared" si="46"/>
        <v>25</v>
      </c>
      <c r="B163" s="206" t="s">
        <v>164</v>
      </c>
      <c r="C163" s="199"/>
      <c r="D163" s="199"/>
      <c r="E163" s="200" t="s">
        <v>101</v>
      </c>
      <c r="F163" s="167"/>
      <c r="G163" s="167"/>
      <c r="H163" s="167"/>
      <c r="I163" s="167"/>
      <c r="J163" s="167"/>
      <c r="K163" s="167"/>
      <c r="L163" s="42" t="s">
        <v>21</v>
      </c>
      <c r="M163" s="76">
        <f>12*220</f>
        <v>2640</v>
      </c>
      <c r="N163" s="42" t="s">
        <v>21</v>
      </c>
      <c r="P163" s="42" t="s">
        <v>21</v>
      </c>
      <c r="Q163" s="197"/>
      <c r="R163" s="22">
        <f t="shared" si="47"/>
        <v>2640</v>
      </c>
      <c r="S163" s="42" t="s">
        <v>21</v>
      </c>
      <c r="T163" s="173"/>
    </row>
    <row r="164" spans="1:20" s="140" customFormat="1" ht="42.75" customHeight="1" x14ac:dyDescent="0.3">
      <c r="A164" s="18">
        <f t="shared" si="46"/>
        <v>26</v>
      </c>
      <c r="B164" s="206" t="s">
        <v>165</v>
      </c>
      <c r="C164" s="199"/>
      <c r="D164" s="199"/>
      <c r="E164" s="200" t="s">
        <v>89</v>
      </c>
      <c r="F164" s="167"/>
      <c r="G164" s="167"/>
      <c r="H164" s="167"/>
      <c r="I164" s="167"/>
      <c r="J164" s="167"/>
      <c r="K164" s="167"/>
      <c r="L164" s="42" t="s">
        <v>21</v>
      </c>
      <c r="M164" s="76">
        <f>220*4</f>
        <v>880</v>
      </c>
      <c r="N164" s="42" t="s">
        <v>21</v>
      </c>
      <c r="O164" s="138"/>
      <c r="P164" s="42" t="s">
        <v>21</v>
      </c>
      <c r="Q164" s="197"/>
      <c r="R164" s="22">
        <f t="shared" si="47"/>
        <v>880</v>
      </c>
      <c r="S164" s="42" t="s">
        <v>21</v>
      </c>
      <c r="T164" s="173"/>
    </row>
    <row r="165" spans="1:20" s="140" customFormat="1" ht="63.75" customHeight="1" x14ac:dyDescent="0.3">
      <c r="A165" s="18">
        <f t="shared" si="46"/>
        <v>27</v>
      </c>
      <c r="B165" s="206" t="s">
        <v>175</v>
      </c>
      <c r="C165" s="199"/>
      <c r="D165" s="199"/>
      <c r="E165" s="200" t="s">
        <v>39</v>
      </c>
      <c r="F165" s="167"/>
      <c r="G165" s="167"/>
      <c r="H165" s="167"/>
      <c r="I165" s="167"/>
      <c r="J165" s="167"/>
      <c r="K165" s="167"/>
      <c r="L165" s="42" t="s">
        <v>21</v>
      </c>
      <c r="M165" s="76">
        <v>350</v>
      </c>
      <c r="N165" s="42" t="s">
        <v>21</v>
      </c>
      <c r="O165" s="197"/>
      <c r="P165" s="42" t="s">
        <v>21</v>
      </c>
      <c r="Q165" s="197"/>
      <c r="R165" s="22">
        <f t="shared" si="47"/>
        <v>350</v>
      </c>
      <c r="S165" s="42" t="s">
        <v>21</v>
      </c>
      <c r="T165" s="173"/>
    </row>
    <row r="166" spans="1:20" s="140" customFormat="1" ht="33" x14ac:dyDescent="0.3">
      <c r="A166" s="18">
        <f t="shared" si="46"/>
        <v>28</v>
      </c>
      <c r="B166" s="189" t="s">
        <v>127</v>
      </c>
      <c r="C166" s="167"/>
      <c r="D166" s="167"/>
      <c r="E166" s="196" t="s">
        <v>131</v>
      </c>
      <c r="F166" s="187">
        <v>3</v>
      </c>
      <c r="G166" s="167"/>
      <c r="H166" s="167"/>
      <c r="I166" s="181">
        <v>2</v>
      </c>
      <c r="J166" s="167"/>
      <c r="K166" s="167"/>
      <c r="L166" s="42" t="s">
        <v>21</v>
      </c>
      <c r="M166" s="76"/>
      <c r="N166" s="42" t="s">
        <v>21</v>
      </c>
      <c r="O166" s="76">
        <f>270*P135</f>
        <v>2214</v>
      </c>
      <c r="P166" s="42" t="s">
        <v>21</v>
      </c>
      <c r="Q166" s="197"/>
      <c r="R166" s="22">
        <f t="shared" si="45"/>
        <v>2214</v>
      </c>
      <c r="S166" s="42" t="s">
        <v>21</v>
      </c>
      <c r="T166" s="173"/>
    </row>
    <row r="167" spans="1:20" s="140" customFormat="1" ht="49.5" x14ac:dyDescent="0.3">
      <c r="A167" s="18">
        <f t="shared" si="46"/>
        <v>29</v>
      </c>
      <c r="B167" s="194" t="s">
        <v>128</v>
      </c>
      <c r="C167" s="167"/>
      <c r="D167" s="167"/>
      <c r="E167" s="196" t="s">
        <v>131</v>
      </c>
      <c r="F167" s="187">
        <v>5</v>
      </c>
      <c r="G167" s="167"/>
      <c r="H167" s="167"/>
      <c r="I167" s="181">
        <v>2</v>
      </c>
      <c r="J167" s="167"/>
      <c r="K167" s="167"/>
      <c r="L167" s="42" t="s">
        <v>21</v>
      </c>
      <c r="M167" s="76"/>
      <c r="N167" s="42" t="s">
        <v>21</v>
      </c>
      <c r="O167" s="76">
        <f>270*P136</f>
        <v>2484</v>
      </c>
      <c r="P167" s="42" t="s">
        <v>21</v>
      </c>
      <c r="Q167" s="197"/>
      <c r="R167" s="22">
        <f t="shared" si="45"/>
        <v>2484</v>
      </c>
      <c r="S167" s="42" t="s">
        <v>21</v>
      </c>
      <c r="T167" s="173"/>
    </row>
    <row r="168" spans="1:20" s="140" customFormat="1" ht="33" x14ac:dyDescent="0.3">
      <c r="A168" s="18">
        <f t="shared" si="46"/>
        <v>30</v>
      </c>
      <c r="B168" s="194" t="s">
        <v>129</v>
      </c>
      <c r="C168" s="167"/>
      <c r="D168" s="167"/>
      <c r="E168" s="196" t="s">
        <v>131</v>
      </c>
      <c r="F168" s="187">
        <v>5</v>
      </c>
      <c r="G168" s="187"/>
      <c r="H168" s="187"/>
      <c r="I168" s="187">
        <v>2</v>
      </c>
      <c r="J168" s="187"/>
      <c r="K168" s="167"/>
      <c r="L168" s="42" t="s">
        <v>21</v>
      </c>
      <c r="M168" s="76"/>
      <c r="N168" s="42" t="s">
        <v>21</v>
      </c>
      <c r="O168" s="76">
        <f>220*P137</f>
        <v>2002</v>
      </c>
      <c r="P168" s="42" t="s">
        <v>21</v>
      </c>
      <c r="Q168" s="197"/>
      <c r="R168" s="22">
        <f t="shared" si="45"/>
        <v>2002</v>
      </c>
      <c r="S168" s="42" t="s">
        <v>21</v>
      </c>
      <c r="T168" s="173"/>
    </row>
    <row r="169" spans="1:20" s="140" customFormat="1" ht="56.25" x14ac:dyDescent="0.3">
      <c r="A169" s="18">
        <f t="shared" si="46"/>
        <v>31</v>
      </c>
      <c r="B169" s="201" t="s">
        <v>136</v>
      </c>
      <c r="C169" s="199"/>
      <c r="D169" s="199"/>
      <c r="E169" s="248" t="s">
        <v>131</v>
      </c>
      <c r="F169" s="167"/>
      <c r="G169" s="167"/>
      <c r="H169" s="167"/>
      <c r="I169" s="167"/>
      <c r="J169" s="167"/>
      <c r="K169" s="167"/>
      <c r="L169" s="42" t="s">
        <v>21</v>
      </c>
      <c r="M169" s="138"/>
      <c r="N169" s="42" t="s">
        <v>21</v>
      </c>
      <c r="O169" s="76">
        <f>270*8</f>
        <v>2160</v>
      </c>
      <c r="P169" s="42" t="s">
        <v>21</v>
      </c>
      <c r="Q169" s="197"/>
      <c r="R169" s="373">
        <f>M169+O169+Q169</f>
        <v>2160</v>
      </c>
      <c r="S169" s="42" t="s">
        <v>21</v>
      </c>
      <c r="T169" s="135"/>
    </row>
    <row r="170" spans="1:20" s="140" customFormat="1" ht="56.25" x14ac:dyDescent="0.3">
      <c r="A170" s="18">
        <f t="shared" si="46"/>
        <v>32</v>
      </c>
      <c r="B170" s="201" t="s">
        <v>141</v>
      </c>
      <c r="C170" s="199"/>
      <c r="D170" s="199"/>
      <c r="E170" s="200" t="s">
        <v>131</v>
      </c>
      <c r="F170" s="167"/>
      <c r="G170" s="167"/>
      <c r="H170" s="167"/>
      <c r="I170" s="167"/>
      <c r="J170" s="167"/>
      <c r="K170" s="167"/>
      <c r="L170" s="42" t="s">
        <v>21</v>
      </c>
      <c r="M170" s="138"/>
      <c r="N170" s="42" t="s">
        <v>21</v>
      </c>
      <c r="O170" s="76">
        <f>270*7</f>
        <v>1890</v>
      </c>
      <c r="P170" s="42" t="s">
        <v>21</v>
      </c>
      <c r="Q170" s="197"/>
      <c r="R170" s="22">
        <f t="shared" si="45"/>
        <v>1890</v>
      </c>
      <c r="S170" s="42" t="s">
        <v>21</v>
      </c>
      <c r="T170" s="173"/>
    </row>
    <row r="171" spans="1:20" s="140" customFormat="1" ht="56.25" x14ac:dyDescent="0.3">
      <c r="A171" s="18">
        <f t="shared" si="46"/>
        <v>33</v>
      </c>
      <c r="B171" s="198" t="s">
        <v>147</v>
      </c>
      <c r="C171" s="199"/>
      <c r="D171" s="199"/>
      <c r="E171" s="200" t="s">
        <v>106</v>
      </c>
      <c r="F171" s="167"/>
      <c r="G171" s="167"/>
      <c r="H171" s="167"/>
      <c r="I171" s="167"/>
      <c r="J171" s="167"/>
      <c r="K171" s="167"/>
      <c r="L171" s="42" t="s">
        <v>21</v>
      </c>
      <c r="M171" s="138"/>
      <c r="N171" s="42" t="s">
        <v>21</v>
      </c>
      <c r="O171" s="76">
        <f>14*230</f>
        <v>3220</v>
      </c>
      <c r="P171" s="42" t="s">
        <v>21</v>
      </c>
      <c r="Q171" s="197"/>
      <c r="R171" s="22">
        <f t="shared" si="45"/>
        <v>3220</v>
      </c>
      <c r="S171" s="42" t="s">
        <v>21</v>
      </c>
      <c r="T171" s="173"/>
    </row>
    <row r="172" spans="1:20" s="140" customFormat="1" ht="75" x14ac:dyDescent="0.3">
      <c r="A172" s="18">
        <f t="shared" si="46"/>
        <v>34</v>
      </c>
      <c r="B172" s="204" t="s">
        <v>148</v>
      </c>
      <c r="C172" s="199"/>
      <c r="D172" s="199"/>
      <c r="E172" s="200" t="s">
        <v>131</v>
      </c>
      <c r="F172" s="167"/>
      <c r="G172" s="167"/>
      <c r="H172" s="167"/>
      <c r="I172" s="167"/>
      <c r="J172" s="167"/>
      <c r="K172" s="167"/>
      <c r="L172" s="42" t="s">
        <v>21</v>
      </c>
      <c r="M172" s="197"/>
      <c r="N172" s="42" t="s">
        <v>21</v>
      </c>
      <c r="O172" s="76">
        <f>3.26*260</f>
        <v>847.59999999999991</v>
      </c>
      <c r="P172" s="42" t="s">
        <v>21</v>
      </c>
      <c r="Q172" s="197"/>
      <c r="R172" s="22">
        <f t="shared" si="45"/>
        <v>847.59999999999991</v>
      </c>
      <c r="S172" s="42" t="s">
        <v>21</v>
      </c>
      <c r="T172" s="173"/>
    </row>
    <row r="173" spans="1:20" s="140" customFormat="1" ht="37.5" x14ac:dyDescent="0.3">
      <c r="A173" s="18">
        <f t="shared" si="46"/>
        <v>35</v>
      </c>
      <c r="B173" s="204" t="s">
        <v>152</v>
      </c>
      <c r="C173" s="199"/>
      <c r="D173" s="199"/>
      <c r="E173" s="200" t="s">
        <v>131</v>
      </c>
      <c r="F173" s="167"/>
      <c r="G173" s="167"/>
      <c r="H173" s="167"/>
      <c r="I173" s="167"/>
      <c r="J173" s="167"/>
      <c r="K173" s="167"/>
      <c r="L173" s="42" t="s">
        <v>21</v>
      </c>
      <c r="M173" s="138"/>
      <c r="N173" s="42" t="s">
        <v>21</v>
      </c>
      <c r="O173" s="76">
        <f>3.7*260</f>
        <v>962</v>
      </c>
      <c r="P173" s="42" t="s">
        <v>21</v>
      </c>
      <c r="Q173" s="197"/>
      <c r="R173" s="22">
        <f t="shared" si="45"/>
        <v>962</v>
      </c>
      <c r="S173" s="42" t="s">
        <v>21</v>
      </c>
      <c r="T173" s="173"/>
    </row>
    <row r="174" spans="1:20" s="140" customFormat="1" ht="22.5" x14ac:dyDescent="0.3">
      <c r="A174" s="18">
        <f t="shared" si="46"/>
        <v>36</v>
      </c>
      <c r="B174" s="205" t="s">
        <v>155</v>
      </c>
      <c r="C174" s="199"/>
      <c r="D174" s="199"/>
      <c r="E174" s="200" t="s">
        <v>131</v>
      </c>
      <c r="F174" s="167"/>
      <c r="G174" s="167"/>
      <c r="H174" s="167"/>
      <c r="I174" s="167"/>
      <c r="J174" s="167"/>
      <c r="K174" s="167"/>
      <c r="L174" s="42" t="s">
        <v>21</v>
      </c>
      <c r="M174" s="138"/>
      <c r="N174" s="42" t="s">
        <v>21</v>
      </c>
      <c r="O174" s="76">
        <f>1.3*290</f>
        <v>377</v>
      </c>
      <c r="P174" s="42" t="s">
        <v>21</v>
      </c>
      <c r="Q174" s="197"/>
      <c r="R174" s="22">
        <f t="shared" si="45"/>
        <v>377</v>
      </c>
      <c r="S174" s="42" t="s">
        <v>21</v>
      </c>
      <c r="T174" s="173"/>
    </row>
    <row r="175" spans="1:20" s="140" customFormat="1" ht="37.5" x14ac:dyDescent="0.3">
      <c r="A175" s="18">
        <f t="shared" si="46"/>
        <v>37</v>
      </c>
      <c r="B175" s="204" t="s">
        <v>158</v>
      </c>
      <c r="C175" s="199"/>
      <c r="D175" s="199"/>
      <c r="E175" s="200" t="s">
        <v>131</v>
      </c>
      <c r="F175" s="167"/>
      <c r="G175" s="167"/>
      <c r="H175" s="167"/>
      <c r="I175" s="167"/>
      <c r="J175" s="167"/>
      <c r="K175" s="167"/>
      <c r="L175" s="42" t="s">
        <v>21</v>
      </c>
      <c r="M175" s="138"/>
      <c r="N175" s="42" t="s">
        <v>21</v>
      </c>
      <c r="O175" s="76">
        <f>3.2*230</f>
        <v>736</v>
      </c>
      <c r="P175" s="42" t="s">
        <v>21</v>
      </c>
      <c r="Q175" s="197"/>
      <c r="R175" s="22">
        <f t="shared" si="45"/>
        <v>736</v>
      </c>
      <c r="S175" s="42" t="s">
        <v>21</v>
      </c>
      <c r="T175" s="173"/>
    </row>
    <row r="176" spans="1:20" s="140" customFormat="1" ht="75" x14ac:dyDescent="0.3">
      <c r="A176" s="18">
        <f t="shared" si="46"/>
        <v>38</v>
      </c>
      <c r="B176" s="204" t="s">
        <v>160</v>
      </c>
      <c r="C176" s="199"/>
      <c r="D176" s="199"/>
      <c r="E176" s="200" t="s">
        <v>131</v>
      </c>
      <c r="F176" s="167"/>
      <c r="G176" s="167"/>
      <c r="H176" s="167"/>
      <c r="I176" s="167"/>
      <c r="J176" s="167"/>
      <c r="K176" s="167"/>
      <c r="L176" s="42" t="s">
        <v>21</v>
      </c>
      <c r="N176" s="42" t="s">
        <v>21</v>
      </c>
      <c r="O176" s="76">
        <f>270*2</f>
        <v>540</v>
      </c>
      <c r="P176" s="42" t="s">
        <v>21</v>
      </c>
      <c r="Q176" s="197"/>
      <c r="R176" s="22">
        <f t="shared" si="45"/>
        <v>540</v>
      </c>
      <c r="S176" s="42" t="s">
        <v>21</v>
      </c>
      <c r="T176" s="173"/>
    </row>
    <row r="177" spans="1:20" s="140" customFormat="1" ht="75" x14ac:dyDescent="0.3">
      <c r="A177" s="18">
        <f t="shared" si="46"/>
        <v>39</v>
      </c>
      <c r="B177" s="198" t="s">
        <v>161</v>
      </c>
      <c r="C177" s="199"/>
      <c r="D177" s="199"/>
      <c r="E177" s="200" t="s">
        <v>131</v>
      </c>
      <c r="F177" s="167"/>
      <c r="G177" s="167"/>
      <c r="H177" s="167"/>
      <c r="I177" s="167"/>
      <c r="J177" s="167"/>
      <c r="K177" s="167"/>
      <c r="L177" s="42" t="s">
        <v>21</v>
      </c>
      <c r="M177" s="76"/>
      <c r="N177" s="42" t="s">
        <v>21</v>
      </c>
      <c r="O177" s="76">
        <f>270*2</f>
        <v>540</v>
      </c>
      <c r="P177" s="42" t="s">
        <v>21</v>
      </c>
      <c r="Q177" s="197"/>
      <c r="R177" s="22">
        <f t="shared" si="45"/>
        <v>540</v>
      </c>
      <c r="S177" s="42" t="s">
        <v>21</v>
      </c>
      <c r="T177" s="173"/>
    </row>
    <row r="178" spans="1:20" s="140" customFormat="1" ht="52.5" customHeight="1" x14ac:dyDescent="0.3">
      <c r="A178" s="18">
        <f t="shared" si="46"/>
        <v>40</v>
      </c>
      <c r="B178" s="204" t="s">
        <v>163</v>
      </c>
      <c r="C178" s="199"/>
      <c r="D178" s="199"/>
      <c r="E178" s="200" t="s">
        <v>131</v>
      </c>
      <c r="F178" s="167"/>
      <c r="G178" s="167"/>
      <c r="H178" s="167"/>
      <c r="I178" s="167"/>
      <c r="J178" s="167"/>
      <c r="K178" s="167"/>
      <c r="L178" s="42" t="s">
        <v>21</v>
      </c>
      <c r="M178" s="76"/>
      <c r="N178" s="42" t="s">
        <v>21</v>
      </c>
      <c r="O178" s="76">
        <f>2.5*270</f>
        <v>675</v>
      </c>
      <c r="P178" s="42" t="s">
        <v>21</v>
      </c>
      <c r="Q178" s="197"/>
      <c r="R178" s="22">
        <f t="shared" si="45"/>
        <v>675</v>
      </c>
      <c r="S178" s="42" t="s">
        <v>21</v>
      </c>
      <c r="T178" s="173"/>
    </row>
    <row r="179" spans="1:20" s="140" customFormat="1" ht="42.75" customHeight="1" x14ac:dyDescent="0.3">
      <c r="A179" s="18">
        <f t="shared" si="46"/>
        <v>41</v>
      </c>
      <c r="B179" s="206" t="s">
        <v>166</v>
      </c>
      <c r="C179" s="199"/>
      <c r="D179" s="199"/>
      <c r="E179" s="200" t="s">
        <v>131</v>
      </c>
      <c r="F179" s="167"/>
      <c r="G179" s="167"/>
      <c r="H179" s="167"/>
      <c r="I179" s="167"/>
      <c r="J179" s="167"/>
      <c r="K179" s="167"/>
      <c r="L179" s="42" t="s">
        <v>21</v>
      </c>
      <c r="M179" s="197"/>
      <c r="N179" s="42" t="s">
        <v>21</v>
      </c>
      <c r="O179" s="76">
        <f>5*220</f>
        <v>1100</v>
      </c>
      <c r="P179" s="42" t="s">
        <v>21</v>
      </c>
      <c r="Q179" s="197"/>
      <c r="R179" s="22">
        <f t="shared" si="45"/>
        <v>1100</v>
      </c>
      <c r="S179" s="42" t="s">
        <v>21</v>
      </c>
      <c r="T179" s="173"/>
    </row>
    <row r="180" spans="1:20" s="140" customFormat="1" ht="42.75" customHeight="1" x14ac:dyDescent="0.3">
      <c r="A180" s="18">
        <f t="shared" si="46"/>
        <v>42</v>
      </c>
      <c r="B180" s="206" t="s">
        <v>167</v>
      </c>
      <c r="C180" s="199"/>
      <c r="D180" s="199"/>
      <c r="E180" s="200" t="s">
        <v>131</v>
      </c>
      <c r="F180" s="167"/>
      <c r="G180" s="167"/>
      <c r="H180" s="167"/>
      <c r="I180" s="167"/>
      <c r="J180" s="167"/>
      <c r="K180" s="167"/>
      <c r="L180" s="42" t="s">
        <v>21</v>
      </c>
      <c r="M180" s="197"/>
      <c r="N180" s="42" t="s">
        <v>21</v>
      </c>
      <c r="O180" s="76">
        <f>5*250</f>
        <v>1250</v>
      </c>
      <c r="P180" s="42" t="s">
        <v>21</v>
      </c>
      <c r="Q180" s="197"/>
      <c r="R180" s="22">
        <f t="shared" si="45"/>
        <v>1250</v>
      </c>
      <c r="S180" s="42" t="s">
        <v>21</v>
      </c>
      <c r="T180" s="173"/>
    </row>
    <row r="181" spans="1:20" s="140" customFormat="1" ht="42.75" customHeight="1" x14ac:dyDescent="0.3">
      <c r="A181" s="18">
        <f t="shared" si="46"/>
        <v>43</v>
      </c>
      <c r="B181" s="206" t="s">
        <v>168</v>
      </c>
      <c r="C181" s="199"/>
      <c r="D181" s="199"/>
      <c r="E181" s="200" t="s">
        <v>131</v>
      </c>
      <c r="F181" s="167"/>
      <c r="G181" s="167"/>
      <c r="H181" s="167"/>
      <c r="I181" s="167"/>
      <c r="J181" s="167"/>
      <c r="K181" s="167"/>
      <c r="L181" s="42" t="s">
        <v>21</v>
      </c>
      <c r="M181" s="197"/>
      <c r="N181" s="42" t="s">
        <v>21</v>
      </c>
      <c r="O181" s="76">
        <f>7*230</f>
        <v>1610</v>
      </c>
      <c r="P181" s="42" t="s">
        <v>21</v>
      </c>
      <c r="Q181" s="197"/>
      <c r="R181" s="22">
        <f t="shared" si="45"/>
        <v>1610</v>
      </c>
      <c r="S181" s="42" t="s">
        <v>21</v>
      </c>
      <c r="T181" s="173"/>
    </row>
    <row r="182" spans="1:20" s="140" customFormat="1" ht="75" x14ac:dyDescent="0.3">
      <c r="A182" s="18">
        <f t="shared" si="46"/>
        <v>44</v>
      </c>
      <c r="B182" s="206" t="s">
        <v>169</v>
      </c>
      <c r="C182" s="199"/>
      <c r="D182" s="199"/>
      <c r="E182" s="200" t="s">
        <v>131</v>
      </c>
      <c r="F182" s="167"/>
      <c r="G182" s="167"/>
      <c r="H182" s="167"/>
      <c r="I182" s="167"/>
      <c r="J182" s="167"/>
      <c r="K182" s="167"/>
      <c r="L182" s="42" t="s">
        <v>21</v>
      </c>
      <c r="M182" s="197"/>
      <c r="N182" s="42" t="s">
        <v>21</v>
      </c>
      <c r="O182" s="76">
        <f>10*260</f>
        <v>2600</v>
      </c>
      <c r="P182" s="42" t="s">
        <v>21</v>
      </c>
      <c r="Q182" s="197"/>
      <c r="R182" s="22">
        <f t="shared" si="45"/>
        <v>2600</v>
      </c>
      <c r="S182" s="42" t="s">
        <v>21</v>
      </c>
      <c r="T182" s="173"/>
    </row>
    <row r="183" spans="1:20" s="140" customFormat="1" ht="37.5" x14ac:dyDescent="0.3">
      <c r="A183" s="18">
        <f t="shared" si="46"/>
        <v>45</v>
      </c>
      <c r="B183" s="206" t="s">
        <v>208</v>
      </c>
      <c r="C183" s="199"/>
      <c r="D183" s="199"/>
      <c r="E183" s="200" t="s">
        <v>131</v>
      </c>
      <c r="F183" s="167"/>
      <c r="G183" s="167"/>
      <c r="H183" s="167"/>
      <c r="I183" s="167"/>
      <c r="J183" s="167"/>
      <c r="K183" s="167"/>
      <c r="L183" s="42" t="s">
        <v>21</v>
      </c>
      <c r="M183" s="138"/>
      <c r="N183" s="42" t="s">
        <v>21</v>
      </c>
      <c r="O183" s="76">
        <f>3*270</f>
        <v>810</v>
      </c>
      <c r="P183" s="42" t="s">
        <v>21</v>
      </c>
      <c r="Q183" s="197"/>
      <c r="R183" s="22">
        <f t="shared" si="45"/>
        <v>810</v>
      </c>
      <c r="S183" s="42" t="s">
        <v>21</v>
      </c>
      <c r="T183" s="173"/>
    </row>
    <row r="184" spans="1:20" s="140" customFormat="1" ht="37.5" x14ac:dyDescent="0.3">
      <c r="A184" s="18">
        <f t="shared" si="46"/>
        <v>46</v>
      </c>
      <c r="B184" s="206" t="s">
        <v>171</v>
      </c>
      <c r="C184" s="199"/>
      <c r="D184" s="199"/>
      <c r="E184" s="200" t="s">
        <v>131</v>
      </c>
      <c r="F184" s="167"/>
      <c r="G184" s="167"/>
      <c r="H184" s="167"/>
      <c r="I184" s="167"/>
      <c r="J184" s="167"/>
      <c r="K184" s="167"/>
      <c r="L184" s="42" t="s">
        <v>21</v>
      </c>
      <c r="M184" s="138"/>
      <c r="N184" s="42" t="s">
        <v>21</v>
      </c>
      <c r="O184" s="76">
        <f>270*3</f>
        <v>810</v>
      </c>
      <c r="P184" s="42" t="s">
        <v>21</v>
      </c>
      <c r="Q184" s="197"/>
      <c r="R184" s="22">
        <f t="shared" si="45"/>
        <v>810</v>
      </c>
      <c r="S184" s="42" t="s">
        <v>21</v>
      </c>
      <c r="T184" s="173"/>
    </row>
    <row r="185" spans="1:20" s="140" customFormat="1" ht="37.5" x14ac:dyDescent="0.3">
      <c r="A185" s="18">
        <f t="shared" si="46"/>
        <v>47</v>
      </c>
      <c r="B185" s="206" t="s">
        <v>172</v>
      </c>
      <c r="C185" s="199"/>
      <c r="D185" s="199"/>
      <c r="E185" s="200" t="s">
        <v>131</v>
      </c>
      <c r="F185" s="167"/>
      <c r="G185" s="167"/>
      <c r="H185" s="167"/>
      <c r="I185" s="167"/>
      <c r="J185" s="167"/>
      <c r="K185" s="167"/>
      <c r="L185" s="42" t="s">
        <v>21</v>
      </c>
      <c r="M185" s="138"/>
      <c r="N185" s="42" t="s">
        <v>21</v>
      </c>
      <c r="O185" s="76">
        <f>4.3*270</f>
        <v>1161</v>
      </c>
      <c r="P185" s="42" t="s">
        <v>21</v>
      </c>
      <c r="Q185" s="197"/>
      <c r="R185" s="22">
        <f t="shared" si="45"/>
        <v>1161</v>
      </c>
      <c r="S185" s="42" t="s">
        <v>21</v>
      </c>
      <c r="T185" s="173"/>
    </row>
    <row r="186" spans="1:20" s="140" customFormat="1" ht="37.5" x14ac:dyDescent="0.3">
      <c r="A186" s="18">
        <f t="shared" si="46"/>
        <v>48</v>
      </c>
      <c r="B186" s="206" t="s">
        <v>173</v>
      </c>
      <c r="C186" s="199"/>
      <c r="D186" s="199"/>
      <c r="E186" s="200" t="s">
        <v>131</v>
      </c>
      <c r="F186" s="167"/>
      <c r="G186" s="167"/>
      <c r="H186" s="167"/>
      <c r="I186" s="167"/>
      <c r="J186" s="167"/>
      <c r="K186" s="167"/>
      <c r="L186" s="42" t="s">
        <v>21</v>
      </c>
      <c r="M186" s="138"/>
      <c r="N186" s="42" t="s">
        <v>21</v>
      </c>
      <c r="O186" s="76">
        <f>4*270</f>
        <v>1080</v>
      </c>
      <c r="P186" s="42" t="s">
        <v>21</v>
      </c>
      <c r="Q186" s="197"/>
      <c r="R186" s="22">
        <f t="shared" si="45"/>
        <v>1080</v>
      </c>
      <c r="S186" s="42" t="s">
        <v>21</v>
      </c>
      <c r="T186" s="173"/>
    </row>
    <row r="187" spans="1:20" s="140" customFormat="1" ht="75" x14ac:dyDescent="0.3">
      <c r="A187" s="18">
        <f t="shared" si="46"/>
        <v>49</v>
      </c>
      <c r="B187" s="206" t="s">
        <v>174</v>
      </c>
      <c r="C187" s="199"/>
      <c r="D187" s="199"/>
      <c r="E187" s="200" t="s">
        <v>131</v>
      </c>
      <c r="F187" s="167"/>
      <c r="G187" s="167"/>
      <c r="H187" s="167"/>
      <c r="I187" s="167"/>
      <c r="J187" s="167"/>
      <c r="K187" s="167"/>
      <c r="L187" s="42" t="s">
        <v>21</v>
      </c>
      <c r="M187" s="138"/>
      <c r="N187" s="42" t="s">
        <v>21</v>
      </c>
      <c r="O187" s="76">
        <f>22*150</f>
        <v>3300</v>
      </c>
      <c r="P187" s="42" t="s">
        <v>21</v>
      </c>
      <c r="Q187" s="197"/>
      <c r="R187" s="22">
        <f t="shared" si="45"/>
        <v>3300</v>
      </c>
      <c r="S187" s="42" t="s">
        <v>21</v>
      </c>
      <c r="T187" s="173"/>
    </row>
    <row r="188" spans="1:20" s="140" customFormat="1" ht="22.5" x14ac:dyDescent="0.3">
      <c r="A188" s="165"/>
      <c r="B188" s="166"/>
      <c r="C188" s="167"/>
      <c r="D188" s="167"/>
      <c r="E188" s="167"/>
      <c r="F188" s="167"/>
      <c r="G188" s="167"/>
      <c r="H188" s="167"/>
      <c r="I188" s="167"/>
      <c r="J188" s="167"/>
      <c r="K188" s="167"/>
      <c r="L188" s="197"/>
      <c r="M188" s="197"/>
      <c r="N188" s="197"/>
      <c r="O188" s="197"/>
      <c r="P188" s="197"/>
      <c r="Q188" s="197"/>
      <c r="R188" s="197"/>
      <c r="S188" s="207"/>
      <c r="T188" s="135"/>
    </row>
    <row r="189" spans="1:20" s="140" customFormat="1" ht="49.5" x14ac:dyDescent="0.3">
      <c r="A189" s="31"/>
      <c r="B189" s="32" t="s">
        <v>41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131">
        <f t="shared" ref="L189:Q189" si="48">SUM(L191:L244)</f>
        <v>95.59</v>
      </c>
      <c r="M189" s="131">
        <f t="shared" si="48"/>
        <v>1092162.29</v>
      </c>
      <c r="N189" s="131">
        <f t="shared" si="48"/>
        <v>178.24199999999999</v>
      </c>
      <c r="O189" s="131">
        <f t="shared" si="48"/>
        <v>2232967.9811199997</v>
      </c>
      <c r="P189" s="131">
        <f t="shared" si="48"/>
        <v>170.93</v>
      </c>
      <c r="Q189" s="131">
        <f t="shared" si="48"/>
        <v>1427707.04</v>
      </c>
      <c r="R189" s="131">
        <f>SUM(R191:R244)</f>
        <v>4752837.3111199997</v>
      </c>
      <c r="S189" s="131"/>
      <c r="T189" s="208"/>
    </row>
    <row r="190" spans="1:20" s="553" customFormat="1" ht="46.5" customHeight="1" x14ac:dyDescent="0.2">
      <c r="A190" s="549">
        <v>10</v>
      </c>
      <c r="B190" s="558" t="s">
        <v>363</v>
      </c>
      <c r="C190" s="557" t="s">
        <v>364</v>
      </c>
      <c r="D190" s="551" t="s">
        <v>45</v>
      </c>
      <c r="E190" s="550">
        <v>2</v>
      </c>
      <c r="F190" s="554" t="s">
        <v>35</v>
      </c>
      <c r="G190" s="555"/>
      <c r="H190" s="556">
        <v>78000</v>
      </c>
      <c r="I190" s="556">
        <v>6.95</v>
      </c>
      <c r="J190" s="556">
        <v>111790.2</v>
      </c>
      <c r="K190" s="556"/>
      <c r="L190" s="604"/>
      <c r="M190" s="552">
        <f>H190+J190+L190</f>
        <v>189790.2</v>
      </c>
      <c r="N190" s="555">
        <f>M190/I190</f>
        <v>27307.942446043166</v>
      </c>
      <c r="O190" s="605"/>
      <c r="P190" s="606"/>
      <c r="Q190" s="606"/>
      <c r="R190" s="606"/>
      <c r="S190" s="606"/>
      <c r="T190" s="606"/>
    </row>
    <row r="191" spans="1:20" s="140" customFormat="1" ht="44.45" customHeight="1" x14ac:dyDescent="0.3">
      <c r="A191" s="222">
        <v>1</v>
      </c>
      <c r="B191" s="600" t="s">
        <v>176</v>
      </c>
      <c r="C191" s="257"/>
      <c r="D191" s="257"/>
      <c r="E191" s="200" t="s">
        <v>133</v>
      </c>
      <c r="F191" s="257">
        <v>3</v>
      </c>
      <c r="G191" s="257"/>
      <c r="H191" s="270"/>
      <c r="I191" s="222">
        <v>2</v>
      </c>
      <c r="J191" s="270">
        <v>2</v>
      </c>
      <c r="K191" s="271" t="s">
        <v>51</v>
      </c>
      <c r="L191" s="601">
        <v>3</v>
      </c>
      <c r="M191" s="602">
        <v>15000</v>
      </c>
      <c r="N191" s="603">
        <v>3</v>
      </c>
      <c r="O191" s="273">
        <v>15000</v>
      </c>
      <c r="P191" s="273">
        <v>2</v>
      </c>
      <c r="Q191" s="273">
        <v>10000</v>
      </c>
      <c r="R191" s="102">
        <f t="shared" ref="R191:R244" si="49">M191+O191+Q191</f>
        <v>40000</v>
      </c>
      <c r="S191" s="102">
        <f t="shared" ref="S191:S224" si="50">R191/(L191+N191+P191)</f>
        <v>5000</v>
      </c>
      <c r="T191" s="274"/>
    </row>
    <row r="192" spans="1:20" s="140" customFormat="1" ht="40.15" customHeight="1" x14ac:dyDescent="0.3">
      <c r="A192" s="174">
        <f>A191+1</f>
        <v>2</v>
      </c>
      <c r="B192" s="201" t="s">
        <v>136</v>
      </c>
      <c r="C192" s="199"/>
      <c r="D192" s="199"/>
      <c r="E192" s="200" t="s">
        <v>131</v>
      </c>
      <c r="F192" s="199">
        <v>3</v>
      </c>
      <c r="G192" s="199"/>
      <c r="H192" s="209"/>
      <c r="I192" s="174">
        <v>2</v>
      </c>
      <c r="J192" s="209">
        <v>4</v>
      </c>
      <c r="K192" s="210">
        <v>2023</v>
      </c>
      <c r="L192" s="216"/>
      <c r="M192" s="216"/>
      <c r="N192" s="184"/>
      <c r="O192" s="213"/>
      <c r="P192" s="213">
        <v>8</v>
      </c>
      <c r="Q192" s="213">
        <v>56000</v>
      </c>
      <c r="R192" s="102">
        <f t="shared" si="49"/>
        <v>56000</v>
      </c>
      <c r="S192" s="102">
        <f t="shared" si="50"/>
        <v>7000</v>
      </c>
      <c r="T192" s="214"/>
    </row>
    <row r="193" spans="1:20" s="140" customFormat="1" ht="56.25" x14ac:dyDescent="0.3">
      <c r="A193" s="174">
        <f t="shared" ref="A193:A244" si="51">A192+1</f>
        <v>3</v>
      </c>
      <c r="B193" s="201" t="s">
        <v>181</v>
      </c>
      <c r="C193" s="199"/>
      <c r="D193" s="199"/>
      <c r="E193" s="200" t="s">
        <v>131</v>
      </c>
      <c r="F193" s="199">
        <v>3</v>
      </c>
      <c r="G193" s="199"/>
      <c r="H193" s="209"/>
      <c r="I193" s="174">
        <v>2</v>
      </c>
      <c r="J193" s="209">
        <v>4</v>
      </c>
      <c r="K193" s="210">
        <v>2023</v>
      </c>
      <c r="L193" s="216"/>
      <c r="M193" s="216"/>
      <c r="N193" s="184"/>
      <c r="O193" s="213"/>
      <c r="P193" s="217">
        <v>7</v>
      </c>
      <c r="Q193" s="211">
        <f>7000*7</f>
        <v>49000</v>
      </c>
      <c r="R193" s="102">
        <f>M193+O193+Q193</f>
        <v>49000</v>
      </c>
      <c r="S193" s="102">
        <f t="shared" si="50"/>
        <v>7000</v>
      </c>
      <c r="T193" s="214"/>
    </row>
    <row r="194" spans="1:20" s="140" customFormat="1" ht="78" customHeight="1" x14ac:dyDescent="0.3">
      <c r="A194" s="174">
        <f t="shared" si="51"/>
        <v>4</v>
      </c>
      <c r="B194" s="201" t="s">
        <v>177</v>
      </c>
      <c r="C194" s="199"/>
      <c r="D194" s="199"/>
      <c r="E194" s="200" t="s">
        <v>135</v>
      </c>
      <c r="F194" s="199">
        <v>3</v>
      </c>
      <c r="G194" s="199"/>
      <c r="H194" s="209"/>
      <c r="I194" s="174">
        <v>2</v>
      </c>
      <c r="J194" s="209">
        <v>4</v>
      </c>
      <c r="K194" s="210">
        <v>2021</v>
      </c>
      <c r="L194" s="215">
        <v>1</v>
      </c>
      <c r="M194" s="216">
        <v>4000</v>
      </c>
      <c r="N194" s="184"/>
      <c r="O194" s="213"/>
      <c r="P194" s="213"/>
      <c r="Q194" s="213"/>
      <c r="R194" s="102">
        <f>M194+O194+Q194</f>
        <v>4000</v>
      </c>
      <c r="S194" s="102">
        <f t="shared" si="50"/>
        <v>4000</v>
      </c>
      <c r="T194" s="214"/>
    </row>
    <row r="195" spans="1:20" s="140" customFormat="1" ht="47.45" customHeight="1" x14ac:dyDescent="0.3">
      <c r="A195" s="174">
        <f t="shared" si="51"/>
        <v>5</v>
      </c>
      <c r="B195" s="201" t="s">
        <v>137</v>
      </c>
      <c r="C195" s="199"/>
      <c r="D195" s="199"/>
      <c r="E195" s="200" t="s">
        <v>101</v>
      </c>
      <c r="F195" s="199">
        <v>3</v>
      </c>
      <c r="G195" s="199"/>
      <c r="H195" s="209"/>
      <c r="I195" s="174">
        <v>2</v>
      </c>
      <c r="J195" s="209">
        <v>4</v>
      </c>
      <c r="K195" s="210">
        <v>2022</v>
      </c>
      <c r="L195" s="216"/>
      <c r="M195" s="216"/>
      <c r="N195" s="217">
        <v>13</v>
      </c>
      <c r="O195" s="217">
        <v>15000</v>
      </c>
      <c r="P195" s="213"/>
      <c r="Q195" s="213"/>
      <c r="R195" s="102">
        <f t="shared" si="49"/>
        <v>15000</v>
      </c>
      <c r="S195" s="102">
        <f t="shared" si="50"/>
        <v>1153.8461538461538</v>
      </c>
      <c r="T195" s="214"/>
    </row>
    <row r="196" spans="1:20" s="140" customFormat="1" ht="48" customHeight="1" x14ac:dyDescent="0.3">
      <c r="A196" s="174">
        <f t="shared" si="51"/>
        <v>6</v>
      </c>
      <c r="B196" s="201" t="s">
        <v>138</v>
      </c>
      <c r="C196" s="199"/>
      <c r="D196" s="199"/>
      <c r="E196" s="200" t="s">
        <v>79</v>
      </c>
      <c r="F196" s="199">
        <v>4</v>
      </c>
      <c r="G196" s="199"/>
      <c r="H196" s="209"/>
      <c r="I196" s="174">
        <v>2</v>
      </c>
      <c r="J196" s="209">
        <v>4</v>
      </c>
      <c r="K196" s="210">
        <v>2022</v>
      </c>
      <c r="L196" s="216"/>
      <c r="M196" s="216"/>
      <c r="N196" s="217">
        <v>9</v>
      </c>
      <c r="O196" s="217">
        <v>15000</v>
      </c>
      <c r="P196" s="213"/>
      <c r="Q196" s="213"/>
      <c r="R196" s="102">
        <f t="shared" si="49"/>
        <v>15000</v>
      </c>
      <c r="S196" s="102">
        <f t="shared" si="50"/>
        <v>1666.6666666666667</v>
      </c>
      <c r="T196" s="214"/>
    </row>
    <row r="197" spans="1:20" s="140" customFormat="1" ht="41.45" customHeight="1" x14ac:dyDescent="0.3">
      <c r="A197" s="174">
        <f t="shared" si="51"/>
        <v>7</v>
      </c>
      <c r="B197" s="201" t="s">
        <v>178</v>
      </c>
      <c r="C197" s="199"/>
      <c r="D197" s="199"/>
      <c r="E197" s="200" t="s">
        <v>179</v>
      </c>
      <c r="F197" s="199">
        <v>5</v>
      </c>
      <c r="G197" s="199"/>
      <c r="H197" s="209"/>
      <c r="I197" s="174">
        <v>2</v>
      </c>
      <c r="J197" s="209">
        <v>4</v>
      </c>
      <c r="K197" s="210">
        <v>2022</v>
      </c>
      <c r="L197" s="216"/>
      <c r="M197" s="216"/>
      <c r="N197" s="211">
        <v>1.075</v>
      </c>
      <c r="O197" s="217">
        <f>8345.48*1.044</f>
        <v>8712.6811199999993</v>
      </c>
      <c r="P197" s="213"/>
      <c r="Q197" s="213"/>
      <c r="R197" s="102">
        <f t="shared" si="49"/>
        <v>8712.6811199999993</v>
      </c>
      <c r="S197" s="102">
        <f t="shared" si="50"/>
        <v>8104.819646511628</v>
      </c>
      <c r="T197" s="214"/>
    </row>
    <row r="198" spans="1:20" s="140" customFormat="1" ht="37.5" x14ac:dyDescent="0.3">
      <c r="A198" s="174">
        <f t="shared" si="51"/>
        <v>8</v>
      </c>
      <c r="B198" s="201" t="s">
        <v>180</v>
      </c>
      <c r="C198" s="199"/>
      <c r="D198" s="199"/>
      <c r="E198" s="248" t="s">
        <v>39</v>
      </c>
      <c r="F198" s="199">
        <v>3</v>
      </c>
      <c r="G198" s="199"/>
      <c r="H198" s="209"/>
      <c r="I198" s="174">
        <v>2</v>
      </c>
      <c r="J198" s="209">
        <v>2</v>
      </c>
      <c r="K198" s="210">
        <v>2021</v>
      </c>
      <c r="L198" s="217">
        <v>1</v>
      </c>
      <c r="M198" s="211">
        <v>15000</v>
      </c>
      <c r="N198" s="184"/>
      <c r="O198" s="213"/>
      <c r="P198" s="213"/>
      <c r="Q198" s="213"/>
      <c r="R198" s="76">
        <f>M198+O198+Q198</f>
        <v>15000</v>
      </c>
      <c r="S198" s="76">
        <f t="shared" si="50"/>
        <v>15000</v>
      </c>
      <c r="T198" s="214"/>
    </row>
    <row r="199" spans="1:20" s="140" customFormat="1" ht="44.45" customHeight="1" x14ac:dyDescent="0.3">
      <c r="A199" s="174">
        <f t="shared" si="51"/>
        <v>9</v>
      </c>
      <c r="B199" s="201" t="s">
        <v>139</v>
      </c>
      <c r="C199" s="199"/>
      <c r="D199" s="199"/>
      <c r="E199" s="200" t="s">
        <v>82</v>
      </c>
      <c r="F199" s="199">
        <v>3</v>
      </c>
      <c r="G199" s="199"/>
      <c r="H199" s="209"/>
      <c r="I199" s="174">
        <v>2</v>
      </c>
      <c r="J199" s="209">
        <v>2</v>
      </c>
      <c r="K199" s="210">
        <v>2022</v>
      </c>
      <c r="L199" s="216"/>
      <c r="M199" s="216"/>
      <c r="N199" s="217">
        <v>7.75</v>
      </c>
      <c r="O199" s="211">
        <f>4000*7.75</f>
        <v>31000</v>
      </c>
      <c r="P199" s="213"/>
      <c r="Q199" s="213"/>
      <c r="R199" s="102">
        <f t="shared" si="49"/>
        <v>31000</v>
      </c>
      <c r="S199" s="102">
        <f t="shared" si="50"/>
        <v>4000</v>
      </c>
      <c r="T199" s="214"/>
    </row>
    <row r="200" spans="1:20" s="140" customFormat="1" ht="42.6" customHeight="1" x14ac:dyDescent="0.3">
      <c r="A200" s="174">
        <f t="shared" si="51"/>
        <v>10</v>
      </c>
      <c r="B200" s="202" t="s">
        <v>143</v>
      </c>
      <c r="C200" s="199"/>
      <c r="D200" s="199"/>
      <c r="E200" s="200" t="s">
        <v>89</v>
      </c>
      <c r="F200" s="199">
        <v>5</v>
      </c>
      <c r="G200" s="199"/>
      <c r="H200" s="209"/>
      <c r="I200" s="174">
        <v>2</v>
      </c>
      <c r="J200" s="209">
        <v>2</v>
      </c>
      <c r="K200" s="210">
        <v>2021</v>
      </c>
      <c r="L200" s="218">
        <v>10</v>
      </c>
      <c r="M200" s="219">
        <v>32960.370000000003</v>
      </c>
      <c r="N200" s="184"/>
      <c r="O200" s="213"/>
      <c r="P200" s="213"/>
      <c r="Q200" s="213"/>
      <c r="R200" s="102">
        <f t="shared" si="49"/>
        <v>32960.370000000003</v>
      </c>
      <c r="S200" s="102">
        <f t="shared" si="50"/>
        <v>3296.0370000000003</v>
      </c>
      <c r="T200" s="214"/>
    </row>
    <row r="201" spans="1:20" s="140" customFormat="1" ht="42.6" customHeight="1" x14ac:dyDescent="0.3">
      <c r="A201" s="559">
        <f t="shared" si="51"/>
        <v>11</v>
      </c>
      <c r="B201" s="577" t="s">
        <v>369</v>
      </c>
      <c r="C201" s="578"/>
      <c r="D201" s="578"/>
      <c r="E201" s="579" t="s">
        <v>44</v>
      </c>
      <c r="F201" s="578">
        <v>4</v>
      </c>
      <c r="G201" s="578"/>
      <c r="H201" s="580"/>
      <c r="I201" s="559">
        <v>2</v>
      </c>
      <c r="J201" s="580"/>
      <c r="K201" s="581" t="s">
        <v>40</v>
      </c>
      <c r="L201" s="582"/>
      <c r="M201" s="583"/>
      <c r="N201" s="566">
        <v>15</v>
      </c>
      <c r="O201" s="584">
        <v>180000</v>
      </c>
      <c r="P201" s="585">
        <v>16</v>
      </c>
      <c r="Q201" s="585">
        <v>186700</v>
      </c>
      <c r="R201" s="569">
        <f t="shared" ref="R201" si="52">M201+O201+Q201</f>
        <v>366700</v>
      </c>
      <c r="S201" s="569">
        <f t="shared" ref="S201" si="53">R201/(L201+N201+P201)</f>
        <v>11829.032258064517</v>
      </c>
      <c r="T201" s="586" t="s">
        <v>368</v>
      </c>
    </row>
    <row r="202" spans="1:20" s="140" customFormat="1" ht="40.15" customHeight="1" x14ac:dyDescent="0.3">
      <c r="A202" s="174">
        <f t="shared" si="51"/>
        <v>12</v>
      </c>
      <c r="B202" s="202" t="s">
        <v>182</v>
      </c>
      <c r="C202" s="199"/>
      <c r="D202" s="199"/>
      <c r="E202" s="200" t="s">
        <v>39</v>
      </c>
      <c r="F202" s="199">
        <v>5</v>
      </c>
      <c r="G202" s="199"/>
      <c r="H202" s="209"/>
      <c r="I202" s="174">
        <v>2</v>
      </c>
      <c r="J202" s="209">
        <v>2</v>
      </c>
      <c r="K202" s="210">
        <v>2021</v>
      </c>
      <c r="L202" s="218">
        <v>1</v>
      </c>
      <c r="M202" s="219">
        <v>5000</v>
      </c>
      <c r="N202" s="184"/>
      <c r="O202" s="213"/>
      <c r="P202" s="213"/>
      <c r="Q202" s="213"/>
      <c r="R202" s="102">
        <f>M202+O202+Q202</f>
        <v>5000</v>
      </c>
      <c r="S202" s="102">
        <f t="shared" si="50"/>
        <v>5000</v>
      </c>
      <c r="T202" s="214"/>
    </row>
    <row r="203" spans="1:20" s="140" customFormat="1" ht="40.15" customHeight="1" x14ac:dyDescent="0.3">
      <c r="A203" s="174">
        <f t="shared" si="51"/>
        <v>13</v>
      </c>
      <c r="B203" s="203" t="s">
        <v>146</v>
      </c>
      <c r="C203" s="199"/>
      <c r="D203" s="199"/>
      <c r="E203" s="200" t="s">
        <v>89</v>
      </c>
      <c r="F203" s="199">
        <v>5</v>
      </c>
      <c r="G203" s="199"/>
      <c r="H203" s="209"/>
      <c r="I203" s="174">
        <v>2</v>
      </c>
      <c r="J203" s="209">
        <v>2</v>
      </c>
      <c r="K203" s="210">
        <v>2021</v>
      </c>
      <c r="L203" s="217">
        <v>26</v>
      </c>
      <c r="M203" s="211">
        <v>90000</v>
      </c>
      <c r="N203" s="184"/>
      <c r="O203" s="213"/>
      <c r="P203" s="213"/>
      <c r="Q203" s="213"/>
      <c r="R203" s="102">
        <f t="shared" si="49"/>
        <v>90000</v>
      </c>
      <c r="S203" s="102">
        <f t="shared" si="50"/>
        <v>3461.5384615384614</v>
      </c>
      <c r="T203" s="214"/>
    </row>
    <row r="204" spans="1:20" s="140" customFormat="1" ht="40.15" customHeight="1" x14ac:dyDescent="0.3">
      <c r="A204" s="174">
        <f t="shared" si="51"/>
        <v>14</v>
      </c>
      <c r="B204" s="202" t="s">
        <v>144</v>
      </c>
      <c r="C204" s="199"/>
      <c r="D204" s="199"/>
      <c r="E204" s="200" t="s">
        <v>145</v>
      </c>
      <c r="F204" s="199">
        <v>5</v>
      </c>
      <c r="G204" s="199"/>
      <c r="H204" s="209"/>
      <c r="I204" s="174">
        <v>2</v>
      </c>
      <c r="J204" s="209">
        <v>2</v>
      </c>
      <c r="K204" s="210" t="s">
        <v>51</v>
      </c>
      <c r="L204" s="218">
        <v>6</v>
      </c>
      <c r="M204" s="219">
        <v>25000</v>
      </c>
      <c r="N204" s="218">
        <v>6</v>
      </c>
      <c r="O204" s="213">
        <v>25000</v>
      </c>
      <c r="P204" s="220">
        <v>7.4</v>
      </c>
      <c r="Q204" s="213">
        <v>27600</v>
      </c>
      <c r="R204" s="102">
        <f>M204+O204+Q204</f>
        <v>77600</v>
      </c>
      <c r="S204" s="102">
        <f t="shared" si="50"/>
        <v>4000.0000000000005</v>
      </c>
      <c r="T204" s="214"/>
    </row>
    <row r="205" spans="1:20" s="140" customFormat="1" ht="75" customHeight="1" x14ac:dyDescent="0.3">
      <c r="A205" s="174">
        <f t="shared" si="51"/>
        <v>15</v>
      </c>
      <c r="B205" s="221" t="s">
        <v>312</v>
      </c>
      <c r="C205" s="199"/>
      <c r="D205" s="199"/>
      <c r="E205" s="200" t="s">
        <v>183</v>
      </c>
      <c r="F205" s="199">
        <v>3</v>
      </c>
      <c r="G205" s="199"/>
      <c r="H205" s="209"/>
      <c r="I205" s="174">
        <v>2</v>
      </c>
      <c r="J205" s="209">
        <v>4</v>
      </c>
      <c r="K205" s="210">
        <v>2023</v>
      </c>
      <c r="L205" s="216"/>
      <c r="M205" s="216"/>
      <c r="N205" s="184"/>
      <c r="O205" s="213"/>
      <c r="P205" s="217">
        <v>16</v>
      </c>
      <c r="Q205" s="211">
        <v>113845.94</v>
      </c>
      <c r="R205" s="102">
        <f t="shared" si="49"/>
        <v>113845.94</v>
      </c>
      <c r="S205" s="102">
        <f t="shared" si="50"/>
        <v>7115.3712500000001</v>
      </c>
      <c r="T205" s="214"/>
    </row>
    <row r="206" spans="1:20" s="140" customFormat="1" ht="76.150000000000006" customHeight="1" x14ac:dyDescent="0.3">
      <c r="A206" s="559">
        <f t="shared" si="51"/>
        <v>16</v>
      </c>
      <c r="B206" s="587" t="s">
        <v>311</v>
      </c>
      <c r="C206" s="578"/>
      <c r="D206" s="578"/>
      <c r="E206" s="579" t="s">
        <v>183</v>
      </c>
      <c r="F206" s="578">
        <v>3</v>
      </c>
      <c r="G206" s="578"/>
      <c r="H206" s="580"/>
      <c r="I206" s="559">
        <v>2</v>
      </c>
      <c r="J206" s="580">
        <v>4</v>
      </c>
      <c r="K206" s="581">
        <v>2022</v>
      </c>
      <c r="L206" s="588"/>
      <c r="M206" s="588"/>
      <c r="N206" s="566">
        <v>12.097</v>
      </c>
      <c r="O206" s="584">
        <v>315947.59999999998</v>
      </c>
      <c r="P206" s="566"/>
      <c r="Q206" s="584"/>
      <c r="R206" s="569">
        <f t="shared" si="49"/>
        <v>315947.59999999998</v>
      </c>
      <c r="S206" s="569">
        <f t="shared" si="50"/>
        <v>26117.847400181861</v>
      </c>
      <c r="T206" s="586" t="s">
        <v>368</v>
      </c>
    </row>
    <row r="207" spans="1:20" s="140" customFormat="1" ht="91.9" customHeight="1" x14ac:dyDescent="0.3">
      <c r="A207" s="559">
        <f t="shared" si="51"/>
        <v>17</v>
      </c>
      <c r="B207" s="587" t="s">
        <v>313</v>
      </c>
      <c r="C207" s="578"/>
      <c r="D207" s="578"/>
      <c r="E207" s="579" t="s">
        <v>184</v>
      </c>
      <c r="F207" s="578">
        <v>3</v>
      </c>
      <c r="G207" s="578"/>
      <c r="H207" s="580"/>
      <c r="I207" s="559">
        <v>2</v>
      </c>
      <c r="J207" s="580">
        <v>4</v>
      </c>
      <c r="K207" s="581">
        <v>2021</v>
      </c>
      <c r="L207" s="566">
        <v>5</v>
      </c>
      <c r="M207" s="584">
        <v>199197.5</v>
      </c>
      <c r="N207" s="589"/>
      <c r="O207" s="585"/>
      <c r="P207" s="585"/>
      <c r="Q207" s="585"/>
      <c r="R207" s="569">
        <f t="shared" si="49"/>
        <v>199197.5</v>
      </c>
      <c r="S207" s="569">
        <f t="shared" si="50"/>
        <v>39839.5</v>
      </c>
      <c r="T207" s="586" t="s">
        <v>368</v>
      </c>
    </row>
    <row r="208" spans="1:20" s="140" customFormat="1" ht="77.45" customHeight="1" x14ac:dyDescent="0.3">
      <c r="A208" s="559">
        <f t="shared" si="51"/>
        <v>18</v>
      </c>
      <c r="B208" s="590" t="s">
        <v>314</v>
      </c>
      <c r="C208" s="578"/>
      <c r="D208" s="578"/>
      <c r="E208" s="579" t="s">
        <v>184</v>
      </c>
      <c r="F208" s="578">
        <v>3</v>
      </c>
      <c r="G208" s="578"/>
      <c r="H208" s="580"/>
      <c r="I208" s="559">
        <v>2</v>
      </c>
      <c r="J208" s="580">
        <v>4</v>
      </c>
      <c r="K208" s="581">
        <v>2022</v>
      </c>
      <c r="L208" s="588"/>
      <c r="M208" s="588"/>
      <c r="N208" s="566">
        <v>6.7</v>
      </c>
      <c r="O208" s="584">
        <v>214210.8</v>
      </c>
      <c r="P208" s="585"/>
      <c r="Q208" s="585"/>
      <c r="R208" s="569">
        <f t="shared" si="49"/>
        <v>214210.8</v>
      </c>
      <c r="S208" s="569">
        <f t="shared" si="50"/>
        <v>31971.761194029848</v>
      </c>
      <c r="T208" s="586" t="s">
        <v>368</v>
      </c>
    </row>
    <row r="209" spans="1:20" s="140" customFormat="1" ht="43.9" customHeight="1" x14ac:dyDescent="0.3">
      <c r="A209" s="174">
        <f t="shared" si="51"/>
        <v>19</v>
      </c>
      <c r="B209" s="198" t="s">
        <v>185</v>
      </c>
      <c r="C209" s="199"/>
      <c r="D209" s="199"/>
      <c r="E209" s="200" t="s">
        <v>106</v>
      </c>
      <c r="F209" s="199"/>
      <c r="G209" s="199"/>
      <c r="H209" s="209"/>
      <c r="I209" s="174">
        <v>2</v>
      </c>
      <c r="J209" s="209">
        <v>2</v>
      </c>
      <c r="K209" s="210">
        <v>2023</v>
      </c>
      <c r="L209" s="216"/>
      <c r="M209" s="216"/>
      <c r="N209" s="184"/>
      <c r="O209" s="213"/>
      <c r="P209" s="217">
        <v>14</v>
      </c>
      <c r="Q209" s="211">
        <v>56000</v>
      </c>
      <c r="R209" s="102">
        <f t="shared" si="49"/>
        <v>56000</v>
      </c>
      <c r="S209" s="102">
        <f t="shared" si="50"/>
        <v>4000</v>
      </c>
      <c r="T209" s="214"/>
    </row>
    <row r="210" spans="1:20" s="140" customFormat="1" ht="67.150000000000006" customHeight="1" x14ac:dyDescent="0.3">
      <c r="A210" s="174">
        <f t="shared" si="51"/>
        <v>20</v>
      </c>
      <c r="B210" s="204" t="s">
        <v>186</v>
      </c>
      <c r="C210" s="199"/>
      <c r="D210" s="199"/>
      <c r="E210" s="200" t="s">
        <v>131</v>
      </c>
      <c r="F210" s="199">
        <v>5</v>
      </c>
      <c r="G210" s="199"/>
      <c r="H210" s="209"/>
      <c r="I210" s="174">
        <v>2</v>
      </c>
      <c r="J210" s="209">
        <v>2</v>
      </c>
      <c r="K210" s="210">
        <v>2023</v>
      </c>
      <c r="L210" s="216"/>
      <c r="M210" s="216"/>
      <c r="N210" s="184"/>
      <c r="O210" s="213"/>
      <c r="P210" s="217">
        <f>457.5-454.24</f>
        <v>3.2599999999999909</v>
      </c>
      <c r="Q210" s="211">
        <v>43000</v>
      </c>
      <c r="R210" s="102">
        <f t="shared" si="49"/>
        <v>43000</v>
      </c>
      <c r="S210" s="102">
        <f t="shared" si="50"/>
        <v>13190.184049079791</v>
      </c>
      <c r="T210" s="214"/>
    </row>
    <row r="211" spans="1:20" s="140" customFormat="1" ht="75" x14ac:dyDescent="0.3">
      <c r="A211" s="559">
        <f t="shared" si="51"/>
        <v>21</v>
      </c>
      <c r="B211" s="591" t="s">
        <v>187</v>
      </c>
      <c r="C211" s="571"/>
      <c r="D211" s="571"/>
      <c r="E211" s="571" t="s">
        <v>113</v>
      </c>
      <c r="F211" s="571">
        <v>3</v>
      </c>
      <c r="G211" s="571"/>
      <c r="H211" s="572"/>
      <c r="I211" s="573">
        <v>2</v>
      </c>
      <c r="J211" s="572">
        <v>4</v>
      </c>
      <c r="K211" s="574" t="s">
        <v>35</v>
      </c>
      <c r="L211" s="566"/>
      <c r="M211" s="584">
        <v>120000</v>
      </c>
      <c r="N211" s="566">
        <v>13.08</v>
      </c>
      <c r="O211" s="584">
        <v>181553.2</v>
      </c>
      <c r="P211" s="569"/>
      <c r="Q211" s="569"/>
      <c r="R211" s="569">
        <f t="shared" si="49"/>
        <v>301553.2</v>
      </c>
      <c r="S211" s="569">
        <f t="shared" si="50"/>
        <v>23054.525993883792</v>
      </c>
      <c r="T211" s="576" t="s">
        <v>368</v>
      </c>
    </row>
    <row r="212" spans="1:20" s="140" customFormat="1" ht="39.6" customHeight="1" x14ac:dyDescent="0.3">
      <c r="A212" s="559">
        <f t="shared" si="51"/>
        <v>22</v>
      </c>
      <c r="B212" s="587" t="s">
        <v>188</v>
      </c>
      <c r="C212" s="571"/>
      <c r="D212" s="571"/>
      <c r="E212" s="571" t="s">
        <v>189</v>
      </c>
      <c r="F212" s="571">
        <v>3</v>
      </c>
      <c r="G212" s="571"/>
      <c r="H212" s="572"/>
      <c r="I212" s="573">
        <v>2</v>
      </c>
      <c r="J212" s="572">
        <v>4</v>
      </c>
      <c r="K212" s="574">
        <v>2021</v>
      </c>
      <c r="L212" s="566"/>
      <c r="M212" s="584">
        <v>78000</v>
      </c>
      <c r="N212" s="566">
        <v>6.95</v>
      </c>
      <c r="O212" s="584">
        <v>111790.2</v>
      </c>
      <c r="P212" s="569"/>
      <c r="Q212" s="569"/>
      <c r="R212" s="569">
        <f>M212+O212+Q212</f>
        <v>189790.2</v>
      </c>
      <c r="S212" s="569">
        <f>R212/(L212+N212+P212)</f>
        <v>27307.942446043166</v>
      </c>
      <c r="T212" s="576" t="s">
        <v>368</v>
      </c>
    </row>
    <row r="213" spans="1:20" s="140" customFormat="1" ht="46.15" customHeight="1" x14ac:dyDescent="0.3">
      <c r="A213" s="174">
        <f t="shared" si="51"/>
        <v>23</v>
      </c>
      <c r="B213" s="228" t="s">
        <v>190</v>
      </c>
      <c r="C213" s="223"/>
      <c r="D213" s="223"/>
      <c r="E213" s="200" t="s">
        <v>191</v>
      </c>
      <c r="F213" s="223">
        <v>3</v>
      </c>
      <c r="G213" s="223"/>
      <c r="H213" s="224"/>
      <c r="I213" s="225">
        <v>2</v>
      </c>
      <c r="J213" s="224">
        <v>4</v>
      </c>
      <c r="K213" s="226">
        <v>2021</v>
      </c>
      <c r="L213" s="217">
        <v>10</v>
      </c>
      <c r="M213" s="211">
        <v>21378.02</v>
      </c>
      <c r="N213" s="172"/>
      <c r="O213" s="102"/>
      <c r="P213" s="102"/>
      <c r="Q213" s="102"/>
      <c r="R213" s="102">
        <f t="shared" si="49"/>
        <v>21378.02</v>
      </c>
      <c r="S213" s="102">
        <f t="shared" si="50"/>
        <v>2137.8020000000001</v>
      </c>
      <c r="T213" s="227"/>
    </row>
    <row r="214" spans="1:20" s="140" customFormat="1" ht="40.9" customHeight="1" x14ac:dyDescent="0.3">
      <c r="A214" s="174">
        <f t="shared" si="51"/>
        <v>24</v>
      </c>
      <c r="B214" s="205" t="s">
        <v>192</v>
      </c>
      <c r="C214" s="199"/>
      <c r="D214" s="199"/>
      <c r="E214" s="200" t="s">
        <v>101</v>
      </c>
      <c r="F214" s="199">
        <v>5</v>
      </c>
      <c r="G214" s="199"/>
      <c r="H214" s="209"/>
      <c r="I214" s="174">
        <v>2</v>
      </c>
      <c r="J214" s="209">
        <v>2</v>
      </c>
      <c r="K214" s="210">
        <v>2022</v>
      </c>
      <c r="L214" s="216"/>
      <c r="M214" s="216"/>
      <c r="N214" s="217">
        <v>10</v>
      </c>
      <c r="O214" s="211">
        <v>50000</v>
      </c>
      <c r="P214" s="213"/>
      <c r="Q214" s="213"/>
      <c r="R214" s="102">
        <f t="shared" si="49"/>
        <v>50000</v>
      </c>
      <c r="S214" s="102">
        <f t="shared" si="50"/>
        <v>5000</v>
      </c>
      <c r="T214" s="214"/>
    </row>
    <row r="215" spans="1:20" s="140" customFormat="1" ht="48" customHeight="1" x14ac:dyDescent="0.3">
      <c r="A215" s="174">
        <f t="shared" si="51"/>
        <v>25</v>
      </c>
      <c r="B215" s="204" t="s">
        <v>150</v>
      </c>
      <c r="C215" s="199"/>
      <c r="D215" s="199"/>
      <c r="E215" s="200" t="s">
        <v>101</v>
      </c>
      <c r="F215" s="199">
        <v>3</v>
      </c>
      <c r="G215" s="199"/>
      <c r="H215" s="209"/>
      <c r="I215" s="174">
        <v>2</v>
      </c>
      <c r="J215" s="209">
        <v>4</v>
      </c>
      <c r="K215" s="210">
        <v>2022</v>
      </c>
      <c r="L215" s="216"/>
      <c r="M215" s="216"/>
      <c r="N215" s="217">
        <v>10</v>
      </c>
      <c r="O215" s="213">
        <v>70000</v>
      </c>
      <c r="P215" s="213"/>
      <c r="Q215" s="213"/>
      <c r="R215" s="102">
        <f t="shared" si="49"/>
        <v>70000</v>
      </c>
      <c r="S215" s="102">
        <f t="shared" si="50"/>
        <v>7000</v>
      </c>
      <c r="T215" s="214"/>
    </row>
    <row r="216" spans="1:20" s="140" customFormat="1" ht="34.15" customHeight="1" x14ac:dyDescent="0.3">
      <c r="A216" s="174">
        <f t="shared" si="51"/>
        <v>26</v>
      </c>
      <c r="B216" s="204" t="s">
        <v>193</v>
      </c>
      <c r="C216" s="199"/>
      <c r="D216" s="199"/>
      <c r="E216" s="200" t="s">
        <v>89</v>
      </c>
      <c r="F216" s="199">
        <v>4</v>
      </c>
      <c r="G216" s="199"/>
      <c r="H216" s="209"/>
      <c r="I216" s="174">
        <v>2</v>
      </c>
      <c r="J216" s="209">
        <v>4</v>
      </c>
      <c r="K216" s="210">
        <v>2022</v>
      </c>
      <c r="L216" s="217"/>
      <c r="M216" s="216"/>
      <c r="N216" s="217">
        <v>2.6</v>
      </c>
      <c r="O216" s="216">
        <v>18200</v>
      </c>
      <c r="P216" s="213"/>
      <c r="Q216" s="213"/>
      <c r="R216" s="102">
        <f t="shared" si="49"/>
        <v>18200</v>
      </c>
      <c r="S216" s="102">
        <f t="shared" si="50"/>
        <v>7000</v>
      </c>
      <c r="T216" s="214"/>
    </row>
    <row r="217" spans="1:20" s="140" customFormat="1" ht="41.45" customHeight="1" x14ac:dyDescent="0.3">
      <c r="A217" s="174">
        <f t="shared" si="51"/>
        <v>27</v>
      </c>
      <c r="B217" s="204" t="s">
        <v>194</v>
      </c>
      <c r="C217" s="199"/>
      <c r="D217" s="199"/>
      <c r="E217" s="248" t="s">
        <v>131</v>
      </c>
      <c r="F217" s="199">
        <v>4</v>
      </c>
      <c r="G217" s="199"/>
      <c r="H217" s="209"/>
      <c r="I217" s="174">
        <v>2</v>
      </c>
      <c r="J217" s="209">
        <v>4</v>
      </c>
      <c r="K217" s="210">
        <v>2023</v>
      </c>
      <c r="L217" s="216"/>
      <c r="M217" s="216"/>
      <c r="N217" s="184"/>
      <c r="O217" s="213"/>
      <c r="P217" s="217">
        <v>3.7</v>
      </c>
      <c r="Q217" s="213">
        <v>25900</v>
      </c>
      <c r="R217" s="76">
        <f t="shared" si="49"/>
        <v>25900</v>
      </c>
      <c r="S217" s="76">
        <f t="shared" si="50"/>
        <v>7000</v>
      </c>
      <c r="T217" s="214"/>
    </row>
    <row r="218" spans="1:20" s="140" customFormat="1" ht="30.6" customHeight="1" x14ac:dyDescent="0.3">
      <c r="A218" s="174">
        <f t="shared" si="51"/>
        <v>28</v>
      </c>
      <c r="B218" s="198" t="s">
        <v>195</v>
      </c>
      <c r="C218" s="199"/>
      <c r="D218" s="199"/>
      <c r="E218" s="200" t="s">
        <v>89</v>
      </c>
      <c r="F218" s="199">
        <v>4</v>
      </c>
      <c r="G218" s="199"/>
      <c r="H218" s="209"/>
      <c r="I218" s="174">
        <v>2</v>
      </c>
      <c r="J218" s="209">
        <v>4</v>
      </c>
      <c r="K218" s="210">
        <v>2022</v>
      </c>
      <c r="L218" s="217"/>
      <c r="M218" s="216"/>
      <c r="N218" s="217">
        <f>7.3+8</f>
        <v>15.3</v>
      </c>
      <c r="O218" s="213">
        <f>50100+57000</f>
        <v>107100</v>
      </c>
      <c r="P218" s="213"/>
      <c r="Q218" s="213"/>
      <c r="R218" s="102">
        <f t="shared" si="49"/>
        <v>107100</v>
      </c>
      <c r="S218" s="102">
        <f t="shared" si="50"/>
        <v>7000</v>
      </c>
      <c r="T218" s="214"/>
    </row>
    <row r="219" spans="1:20" s="140" customFormat="1" ht="37.5" x14ac:dyDescent="0.3">
      <c r="A219" s="174">
        <f t="shared" si="51"/>
        <v>29</v>
      </c>
      <c r="B219" s="205" t="s">
        <v>196</v>
      </c>
      <c r="C219" s="199"/>
      <c r="D219" s="199"/>
      <c r="E219" s="200" t="s">
        <v>89</v>
      </c>
      <c r="F219" s="199">
        <v>5</v>
      </c>
      <c r="G219" s="199"/>
      <c r="H219" s="209"/>
      <c r="I219" s="174">
        <v>2</v>
      </c>
      <c r="J219" s="209">
        <v>2</v>
      </c>
      <c r="K219" s="210" t="s">
        <v>51</v>
      </c>
      <c r="L219" s="217">
        <v>2.7</v>
      </c>
      <c r="M219" s="216">
        <v>20000</v>
      </c>
      <c r="N219" s="217">
        <v>3.5</v>
      </c>
      <c r="O219" s="213">
        <v>30000</v>
      </c>
      <c r="P219" s="217">
        <v>3.5</v>
      </c>
      <c r="Q219" s="213">
        <v>30000</v>
      </c>
      <c r="R219" s="102">
        <f t="shared" si="49"/>
        <v>80000</v>
      </c>
      <c r="S219" s="102">
        <f t="shared" si="50"/>
        <v>8247.4226804123718</v>
      </c>
      <c r="T219" s="214"/>
    </row>
    <row r="220" spans="1:20" s="140" customFormat="1" ht="32.450000000000003" customHeight="1" x14ac:dyDescent="0.3">
      <c r="A220" s="174">
        <f t="shared" si="51"/>
        <v>30</v>
      </c>
      <c r="B220" s="205" t="s">
        <v>197</v>
      </c>
      <c r="C220" s="199"/>
      <c r="D220" s="199"/>
      <c r="E220" s="200" t="s">
        <v>131</v>
      </c>
      <c r="F220" s="199">
        <v>5</v>
      </c>
      <c r="G220" s="199"/>
      <c r="H220" s="209"/>
      <c r="I220" s="174">
        <v>2</v>
      </c>
      <c r="J220" s="209">
        <v>4</v>
      </c>
      <c r="K220" s="210">
        <v>2023</v>
      </c>
      <c r="L220" s="216"/>
      <c r="M220" s="216"/>
      <c r="N220" s="184"/>
      <c r="O220" s="213"/>
      <c r="P220" s="217">
        <v>1.3</v>
      </c>
      <c r="Q220" s="229">
        <v>5000</v>
      </c>
      <c r="R220" s="102">
        <f t="shared" si="49"/>
        <v>5000</v>
      </c>
      <c r="S220" s="102">
        <f t="shared" si="50"/>
        <v>3846.1538461538462</v>
      </c>
      <c r="T220" s="214"/>
    </row>
    <row r="221" spans="1:20" s="140" customFormat="1" ht="37.5" x14ac:dyDescent="0.3">
      <c r="A221" s="559">
        <f t="shared" si="51"/>
        <v>31</v>
      </c>
      <c r="B221" s="587" t="s">
        <v>198</v>
      </c>
      <c r="C221" s="578"/>
      <c r="D221" s="578"/>
      <c r="E221" s="579" t="s">
        <v>199</v>
      </c>
      <c r="F221" s="578">
        <v>3</v>
      </c>
      <c r="G221" s="578"/>
      <c r="H221" s="580"/>
      <c r="I221" s="559">
        <v>2</v>
      </c>
      <c r="J221" s="580">
        <v>4</v>
      </c>
      <c r="K221" s="581">
        <v>2021</v>
      </c>
      <c r="L221" s="566">
        <v>9.19</v>
      </c>
      <c r="M221" s="588">
        <v>130126.39999999999</v>
      </c>
      <c r="N221" s="566"/>
      <c r="O221" s="588"/>
      <c r="P221" s="585"/>
      <c r="Q221" s="585"/>
      <c r="R221" s="569">
        <f t="shared" si="49"/>
        <v>130126.39999999999</v>
      </c>
      <c r="S221" s="569">
        <f t="shared" si="50"/>
        <v>14159.564744287269</v>
      </c>
      <c r="T221" s="586" t="s">
        <v>368</v>
      </c>
    </row>
    <row r="222" spans="1:20" s="140" customFormat="1" ht="37.5" x14ac:dyDescent="0.3">
      <c r="A222" s="174">
        <f t="shared" si="51"/>
        <v>32</v>
      </c>
      <c r="B222" s="204" t="s">
        <v>156</v>
      </c>
      <c r="C222" s="199"/>
      <c r="D222" s="199"/>
      <c r="E222" s="200" t="s">
        <v>89</v>
      </c>
      <c r="F222" s="199">
        <v>3</v>
      </c>
      <c r="G222" s="199"/>
      <c r="H222" s="209"/>
      <c r="I222" s="174">
        <v>2</v>
      </c>
      <c r="J222" s="209">
        <v>4</v>
      </c>
      <c r="K222" s="210" t="s">
        <v>40</v>
      </c>
      <c r="L222" s="217"/>
      <c r="M222" s="216"/>
      <c r="N222" s="217">
        <v>7</v>
      </c>
      <c r="O222" s="216">
        <v>88000</v>
      </c>
      <c r="P222" s="217">
        <v>5</v>
      </c>
      <c r="Q222" s="216">
        <v>80000</v>
      </c>
      <c r="R222" s="102">
        <f t="shared" si="49"/>
        <v>168000</v>
      </c>
      <c r="S222" s="102">
        <f t="shared" si="50"/>
        <v>14000</v>
      </c>
      <c r="T222" s="214"/>
    </row>
    <row r="223" spans="1:20" s="140" customFormat="1" ht="37.5" x14ac:dyDescent="0.3">
      <c r="A223" s="174">
        <f t="shared" si="51"/>
        <v>33</v>
      </c>
      <c r="B223" s="204" t="s">
        <v>200</v>
      </c>
      <c r="C223" s="199"/>
      <c r="D223" s="199"/>
      <c r="E223" s="200" t="s">
        <v>79</v>
      </c>
      <c r="F223" s="199">
        <v>3</v>
      </c>
      <c r="G223" s="199"/>
      <c r="H223" s="209"/>
      <c r="I223" s="174">
        <v>2</v>
      </c>
      <c r="J223" s="209">
        <v>4</v>
      </c>
      <c r="K223" s="210">
        <v>2022</v>
      </c>
      <c r="L223" s="216"/>
      <c r="M223" s="216"/>
      <c r="N223" s="217">
        <v>3.5</v>
      </c>
      <c r="O223" s="213">
        <v>31500</v>
      </c>
      <c r="P223" s="213"/>
      <c r="Q223" s="213"/>
      <c r="R223" s="102">
        <f t="shared" si="49"/>
        <v>31500</v>
      </c>
      <c r="S223" s="102">
        <f t="shared" si="50"/>
        <v>9000</v>
      </c>
      <c r="T223" s="214"/>
    </row>
    <row r="224" spans="1:20" s="140" customFormat="1" ht="37.5" x14ac:dyDescent="0.3">
      <c r="A224" s="174">
        <f t="shared" si="51"/>
        <v>34</v>
      </c>
      <c r="B224" s="204" t="s">
        <v>201</v>
      </c>
      <c r="C224" s="199"/>
      <c r="D224" s="199"/>
      <c r="E224" s="200" t="s">
        <v>131</v>
      </c>
      <c r="F224" s="199">
        <v>3</v>
      </c>
      <c r="G224" s="199"/>
      <c r="H224" s="209"/>
      <c r="I224" s="174">
        <v>2</v>
      </c>
      <c r="J224" s="209">
        <v>2</v>
      </c>
      <c r="K224" s="210">
        <v>2023</v>
      </c>
      <c r="L224" s="216"/>
      <c r="M224" s="216"/>
      <c r="N224" s="184"/>
      <c r="O224" s="213"/>
      <c r="P224" s="217">
        <v>3.72</v>
      </c>
      <c r="Q224" s="213">
        <v>33480</v>
      </c>
      <c r="R224" s="102">
        <f t="shared" si="49"/>
        <v>33480</v>
      </c>
      <c r="S224" s="102">
        <f t="shared" si="50"/>
        <v>9000</v>
      </c>
      <c r="T224" s="214"/>
    </row>
    <row r="225" spans="1:20" s="140" customFormat="1" ht="61.9" customHeight="1" x14ac:dyDescent="0.3">
      <c r="A225" s="174">
        <f t="shared" si="51"/>
        <v>35</v>
      </c>
      <c r="B225" s="204" t="s">
        <v>202</v>
      </c>
      <c r="C225" s="199"/>
      <c r="D225" s="199"/>
      <c r="E225" s="200" t="s">
        <v>39</v>
      </c>
      <c r="F225" s="199">
        <v>3</v>
      </c>
      <c r="G225" s="199"/>
      <c r="H225" s="209"/>
      <c r="I225" s="174">
        <v>2</v>
      </c>
      <c r="J225" s="209">
        <v>4</v>
      </c>
      <c r="K225" s="210">
        <v>2021</v>
      </c>
      <c r="L225" s="230"/>
      <c r="M225" s="211">
        <v>2500</v>
      </c>
      <c r="N225" s="184"/>
      <c r="O225" s="213"/>
      <c r="P225" s="213"/>
      <c r="Q225" s="213"/>
      <c r="R225" s="102">
        <f t="shared" si="49"/>
        <v>2500</v>
      </c>
      <c r="S225" s="102"/>
      <c r="T225" s="214"/>
    </row>
    <row r="226" spans="1:20" s="140" customFormat="1" ht="61.15" customHeight="1" x14ac:dyDescent="0.3">
      <c r="A226" s="174">
        <f t="shared" si="51"/>
        <v>36</v>
      </c>
      <c r="B226" s="204" t="s">
        <v>160</v>
      </c>
      <c r="C226" s="199"/>
      <c r="D226" s="199"/>
      <c r="E226" s="248" t="s">
        <v>131</v>
      </c>
      <c r="F226" s="199">
        <v>4</v>
      </c>
      <c r="G226" s="199"/>
      <c r="H226" s="209"/>
      <c r="I226" s="174">
        <v>2</v>
      </c>
      <c r="J226" s="209">
        <v>4</v>
      </c>
      <c r="K226" s="210">
        <v>2023</v>
      </c>
      <c r="L226" s="216"/>
      <c r="M226" s="216"/>
      <c r="N226" s="184"/>
      <c r="O226" s="213"/>
      <c r="P226" s="212">
        <v>1.85</v>
      </c>
      <c r="Q226" s="211">
        <v>8000</v>
      </c>
      <c r="R226" s="76">
        <f t="shared" si="49"/>
        <v>8000</v>
      </c>
      <c r="S226" s="76">
        <f t="shared" ref="S226:S234" si="54">R226/(L226+N226+P226)</f>
        <v>4324.3243243243242</v>
      </c>
      <c r="T226" s="214"/>
    </row>
    <row r="227" spans="1:20" s="140" customFormat="1" ht="84" customHeight="1" x14ac:dyDescent="0.3">
      <c r="A227" s="174">
        <f t="shared" si="51"/>
        <v>37</v>
      </c>
      <c r="B227" s="198" t="s">
        <v>203</v>
      </c>
      <c r="C227" s="199"/>
      <c r="D227" s="199"/>
      <c r="E227" s="200" t="s">
        <v>131</v>
      </c>
      <c r="F227" s="199">
        <v>4</v>
      </c>
      <c r="G227" s="199"/>
      <c r="H227" s="209"/>
      <c r="I227" s="174">
        <v>2</v>
      </c>
      <c r="J227" s="209">
        <v>4</v>
      </c>
      <c r="K227" s="210">
        <v>2023</v>
      </c>
      <c r="L227" s="216"/>
      <c r="M227" s="216"/>
      <c r="N227" s="184"/>
      <c r="O227" s="213"/>
      <c r="P227" s="231">
        <v>1.5</v>
      </c>
      <c r="Q227" s="211">
        <v>7000</v>
      </c>
      <c r="R227" s="102">
        <f t="shared" si="49"/>
        <v>7000</v>
      </c>
      <c r="S227" s="102">
        <f t="shared" si="54"/>
        <v>4666.666666666667</v>
      </c>
      <c r="T227" s="214"/>
    </row>
    <row r="228" spans="1:20" s="140" customFormat="1" ht="31.5" customHeight="1" x14ac:dyDescent="0.3">
      <c r="A228" s="174">
        <f t="shared" si="51"/>
        <v>38</v>
      </c>
      <c r="B228" s="204" t="s">
        <v>162</v>
      </c>
      <c r="C228" s="199"/>
      <c r="D228" s="199"/>
      <c r="E228" s="200" t="s">
        <v>74</v>
      </c>
      <c r="F228" s="199">
        <v>4</v>
      </c>
      <c r="G228" s="199"/>
      <c r="H228" s="209"/>
      <c r="I228" s="174">
        <v>2</v>
      </c>
      <c r="J228" s="209">
        <v>2</v>
      </c>
      <c r="K228" s="210" t="s">
        <v>51</v>
      </c>
      <c r="L228" s="217">
        <v>7</v>
      </c>
      <c r="M228" s="216">
        <v>50000</v>
      </c>
      <c r="N228" s="217">
        <v>14</v>
      </c>
      <c r="O228" s="213">
        <v>100000</v>
      </c>
      <c r="P228" s="220">
        <f>10.1+7</f>
        <v>17.100000000000001</v>
      </c>
      <c r="Q228" s="213">
        <f>76284+50000</f>
        <v>126284</v>
      </c>
      <c r="R228" s="102">
        <f t="shared" si="49"/>
        <v>276284</v>
      </c>
      <c r="S228" s="102">
        <f t="shared" si="54"/>
        <v>7251.5485564304463</v>
      </c>
      <c r="T228" s="214"/>
    </row>
    <row r="229" spans="1:20" s="140" customFormat="1" ht="46.15" customHeight="1" x14ac:dyDescent="0.3">
      <c r="A229" s="174">
        <f t="shared" si="51"/>
        <v>39</v>
      </c>
      <c r="B229" s="204" t="s">
        <v>163</v>
      </c>
      <c r="C229" s="199"/>
      <c r="D229" s="199"/>
      <c r="E229" s="200" t="s">
        <v>131</v>
      </c>
      <c r="F229" s="199">
        <v>3</v>
      </c>
      <c r="G229" s="199"/>
      <c r="H229" s="209"/>
      <c r="I229" s="174">
        <v>2</v>
      </c>
      <c r="J229" s="209">
        <v>4</v>
      </c>
      <c r="K229" s="210">
        <v>2023</v>
      </c>
      <c r="L229" s="216"/>
      <c r="M229" s="216"/>
      <c r="N229" s="184"/>
      <c r="O229" s="213"/>
      <c r="P229" s="217">
        <v>2.5</v>
      </c>
      <c r="Q229" s="213">
        <v>5000</v>
      </c>
      <c r="R229" s="102">
        <f t="shared" si="49"/>
        <v>5000</v>
      </c>
      <c r="S229" s="102">
        <f t="shared" si="54"/>
        <v>2000</v>
      </c>
      <c r="T229" s="214"/>
    </row>
    <row r="230" spans="1:20" s="140" customFormat="1" ht="46.15" customHeight="1" x14ac:dyDescent="0.3">
      <c r="A230" s="174">
        <f t="shared" si="51"/>
        <v>40</v>
      </c>
      <c r="B230" s="206" t="s">
        <v>204</v>
      </c>
      <c r="C230" s="199"/>
      <c r="D230" s="199"/>
      <c r="E230" s="200" t="s">
        <v>101</v>
      </c>
      <c r="F230" s="199">
        <v>4</v>
      </c>
      <c r="G230" s="199"/>
      <c r="H230" s="209"/>
      <c r="I230" s="174">
        <v>2</v>
      </c>
      <c r="J230" s="209">
        <v>2</v>
      </c>
      <c r="K230" s="210">
        <v>2023</v>
      </c>
      <c r="L230" s="216"/>
      <c r="M230" s="216"/>
      <c r="N230" s="184"/>
      <c r="O230" s="213"/>
      <c r="P230" s="217">
        <v>12</v>
      </c>
      <c r="Q230" s="211">
        <f>12*4000</f>
        <v>48000</v>
      </c>
      <c r="R230" s="102">
        <f t="shared" si="49"/>
        <v>48000</v>
      </c>
      <c r="S230" s="102">
        <f t="shared" si="54"/>
        <v>4000</v>
      </c>
      <c r="T230" s="214"/>
    </row>
    <row r="231" spans="1:20" s="140" customFormat="1" ht="46.15" customHeight="1" x14ac:dyDescent="0.3">
      <c r="A231" s="174">
        <f t="shared" si="51"/>
        <v>41</v>
      </c>
      <c r="B231" s="206" t="s">
        <v>165</v>
      </c>
      <c r="C231" s="199"/>
      <c r="D231" s="199"/>
      <c r="E231" s="200" t="s">
        <v>89</v>
      </c>
      <c r="F231" s="199">
        <v>4</v>
      </c>
      <c r="G231" s="199"/>
      <c r="H231" s="209"/>
      <c r="I231" s="174">
        <v>2</v>
      </c>
      <c r="J231" s="209">
        <v>2</v>
      </c>
      <c r="K231" s="210">
        <v>2023</v>
      </c>
      <c r="L231" s="216"/>
      <c r="M231" s="216"/>
      <c r="N231" s="184"/>
      <c r="O231" s="213"/>
      <c r="P231" s="217">
        <v>4</v>
      </c>
      <c r="Q231" s="211">
        <f>4*4000</f>
        <v>16000</v>
      </c>
      <c r="R231" s="102">
        <f t="shared" si="49"/>
        <v>16000</v>
      </c>
      <c r="S231" s="102">
        <f t="shared" si="54"/>
        <v>4000</v>
      </c>
      <c r="T231" s="214"/>
    </row>
    <row r="232" spans="1:20" s="140" customFormat="1" ht="46.15" customHeight="1" x14ac:dyDescent="0.3">
      <c r="A232" s="174">
        <f t="shared" si="51"/>
        <v>42</v>
      </c>
      <c r="B232" s="206" t="s">
        <v>205</v>
      </c>
      <c r="C232" s="199"/>
      <c r="D232" s="199"/>
      <c r="E232" s="200" t="s">
        <v>131</v>
      </c>
      <c r="F232" s="199">
        <v>4</v>
      </c>
      <c r="G232" s="199"/>
      <c r="H232" s="209"/>
      <c r="I232" s="174">
        <v>2</v>
      </c>
      <c r="J232" s="209">
        <v>2</v>
      </c>
      <c r="K232" s="210">
        <v>2023</v>
      </c>
      <c r="L232" s="216"/>
      <c r="M232" s="216"/>
      <c r="N232" s="184"/>
      <c r="O232" s="213"/>
      <c r="P232" s="217">
        <v>5</v>
      </c>
      <c r="Q232" s="211">
        <f>5*4000</f>
        <v>20000</v>
      </c>
      <c r="R232" s="102">
        <f t="shared" si="49"/>
        <v>20000</v>
      </c>
      <c r="S232" s="102">
        <f t="shared" si="54"/>
        <v>4000</v>
      </c>
      <c r="T232" s="214"/>
    </row>
    <row r="233" spans="1:20" s="140" customFormat="1" ht="46.15" customHeight="1" x14ac:dyDescent="0.3">
      <c r="A233" s="174">
        <f t="shared" si="51"/>
        <v>43</v>
      </c>
      <c r="B233" s="206" t="s">
        <v>206</v>
      </c>
      <c r="C233" s="199"/>
      <c r="D233" s="199"/>
      <c r="E233" s="200" t="s">
        <v>131</v>
      </c>
      <c r="F233" s="199">
        <v>5</v>
      </c>
      <c r="G233" s="199"/>
      <c r="H233" s="209"/>
      <c r="I233" s="174">
        <v>2</v>
      </c>
      <c r="J233" s="209">
        <v>2</v>
      </c>
      <c r="K233" s="210">
        <v>2023</v>
      </c>
      <c r="L233" s="216"/>
      <c r="M233" s="216"/>
      <c r="N233" s="184"/>
      <c r="O233" s="213"/>
      <c r="P233" s="217">
        <v>5</v>
      </c>
      <c r="Q233" s="211">
        <f>5*4000</f>
        <v>20000</v>
      </c>
      <c r="R233" s="102">
        <f t="shared" si="49"/>
        <v>20000</v>
      </c>
      <c r="S233" s="102">
        <f t="shared" si="54"/>
        <v>4000</v>
      </c>
      <c r="T233" s="214"/>
    </row>
    <row r="234" spans="1:20" s="140" customFormat="1" ht="48" customHeight="1" x14ac:dyDescent="0.3">
      <c r="A234" s="174">
        <f t="shared" si="51"/>
        <v>44</v>
      </c>
      <c r="B234" s="206" t="s">
        <v>168</v>
      </c>
      <c r="C234" s="199"/>
      <c r="D234" s="199"/>
      <c r="E234" s="200" t="s">
        <v>131</v>
      </c>
      <c r="F234" s="199">
        <v>5</v>
      </c>
      <c r="G234" s="199"/>
      <c r="H234" s="209"/>
      <c r="I234" s="174">
        <v>2</v>
      </c>
      <c r="J234" s="209">
        <v>2</v>
      </c>
      <c r="K234" s="210">
        <v>2023</v>
      </c>
      <c r="L234" s="216"/>
      <c r="M234" s="216"/>
      <c r="N234" s="184"/>
      <c r="O234" s="213"/>
      <c r="P234" s="217">
        <v>7</v>
      </c>
      <c r="Q234" s="211">
        <f>7*4000</f>
        <v>28000</v>
      </c>
      <c r="R234" s="102">
        <f t="shared" si="49"/>
        <v>28000</v>
      </c>
      <c r="S234" s="102">
        <f t="shared" si="54"/>
        <v>4000</v>
      </c>
      <c r="T234" s="214"/>
    </row>
    <row r="235" spans="1:20" s="140" customFormat="1" ht="30" customHeight="1" x14ac:dyDescent="0.3">
      <c r="A235" s="174">
        <f t="shared" si="51"/>
        <v>45</v>
      </c>
      <c r="B235" s="206" t="s">
        <v>170</v>
      </c>
      <c r="C235" s="199"/>
      <c r="D235" s="199"/>
      <c r="E235" s="200" t="s">
        <v>89</v>
      </c>
      <c r="F235" s="199">
        <v>4</v>
      </c>
      <c r="G235" s="199"/>
      <c r="H235" s="209"/>
      <c r="I235" s="174">
        <v>2</v>
      </c>
      <c r="J235" s="209">
        <v>4</v>
      </c>
      <c r="K235" s="210">
        <v>2021</v>
      </c>
      <c r="L235" s="217">
        <f>27.7-24</f>
        <v>3.6999999999999993</v>
      </c>
      <c r="M235" s="216">
        <v>25900</v>
      </c>
      <c r="N235" s="184"/>
      <c r="O235" s="213"/>
      <c r="P235" s="213"/>
      <c r="Q235" s="213"/>
      <c r="R235" s="102">
        <f t="shared" si="49"/>
        <v>25900</v>
      </c>
      <c r="S235" s="102">
        <f>R235/(L235+N235+P235)</f>
        <v>7000.0000000000009</v>
      </c>
      <c r="T235" s="214"/>
    </row>
    <row r="236" spans="1:20" s="140" customFormat="1" ht="40.15" customHeight="1" x14ac:dyDescent="0.3">
      <c r="A236" s="559">
        <f t="shared" si="51"/>
        <v>46</v>
      </c>
      <c r="B236" s="560" t="s">
        <v>207</v>
      </c>
      <c r="C236" s="561"/>
      <c r="D236" s="561"/>
      <c r="E236" s="562" t="s">
        <v>42</v>
      </c>
      <c r="F236" s="561">
        <v>3</v>
      </c>
      <c r="G236" s="561"/>
      <c r="H236" s="563"/>
      <c r="I236" s="564">
        <v>2</v>
      </c>
      <c r="J236" s="563">
        <v>4</v>
      </c>
      <c r="K236" s="565" t="s">
        <v>51</v>
      </c>
      <c r="L236" s="566">
        <v>10</v>
      </c>
      <c r="M236" s="567">
        <v>255500</v>
      </c>
      <c r="N236" s="566">
        <v>10</v>
      </c>
      <c r="O236" s="567">
        <v>264953.5</v>
      </c>
      <c r="P236" s="566">
        <v>9.8000000000000007</v>
      </c>
      <c r="Q236" s="567">
        <v>297797.09999999998</v>
      </c>
      <c r="R236" s="568">
        <f>M236+O236+Q236</f>
        <v>818250.6</v>
      </c>
      <c r="S236" s="569">
        <f>R236/(L236+N236+P236)</f>
        <v>27458.073825503354</v>
      </c>
      <c r="T236" s="570" t="s">
        <v>368</v>
      </c>
    </row>
    <row r="237" spans="1:20" s="140" customFormat="1" ht="40.15" customHeight="1" x14ac:dyDescent="0.3">
      <c r="A237" s="559">
        <f t="shared" si="51"/>
        <v>47</v>
      </c>
      <c r="B237" s="560" t="s">
        <v>210</v>
      </c>
      <c r="C237" s="571"/>
      <c r="D237" s="571"/>
      <c r="E237" s="562" t="s">
        <v>42</v>
      </c>
      <c r="F237" s="571">
        <v>3</v>
      </c>
      <c r="G237" s="571"/>
      <c r="H237" s="572"/>
      <c r="I237" s="573">
        <v>2</v>
      </c>
      <c r="J237" s="572">
        <v>4</v>
      </c>
      <c r="K237" s="574">
        <v>2022</v>
      </c>
      <c r="L237" s="575"/>
      <c r="M237" s="575"/>
      <c r="N237" s="566">
        <v>8.69</v>
      </c>
      <c r="O237" s="569">
        <v>360000</v>
      </c>
      <c r="P237" s="569"/>
      <c r="Q237" s="569"/>
      <c r="R237" s="569">
        <f>M237+O237+Q237</f>
        <v>360000</v>
      </c>
      <c r="S237" s="569">
        <f>R237/(L237+N237+P237)</f>
        <v>41426.927502876875</v>
      </c>
      <c r="T237" s="570" t="s">
        <v>368</v>
      </c>
    </row>
    <row r="238" spans="1:20" s="140" customFormat="1" ht="37.5" x14ac:dyDescent="0.3">
      <c r="A238" s="174">
        <f t="shared" si="51"/>
        <v>48</v>
      </c>
      <c r="B238" s="206" t="s">
        <v>208</v>
      </c>
      <c r="C238" s="199"/>
      <c r="D238" s="199"/>
      <c r="E238" s="200" t="s">
        <v>131</v>
      </c>
      <c r="F238" s="199">
        <v>3</v>
      </c>
      <c r="G238" s="199"/>
      <c r="H238" s="209"/>
      <c r="I238" s="174">
        <v>2</v>
      </c>
      <c r="J238" s="209">
        <v>4</v>
      </c>
      <c r="K238" s="210">
        <v>2023</v>
      </c>
      <c r="L238" s="216"/>
      <c r="M238" s="216"/>
      <c r="N238" s="184"/>
      <c r="O238" s="213"/>
      <c r="P238" s="217">
        <v>3</v>
      </c>
      <c r="Q238" s="211">
        <v>21000</v>
      </c>
      <c r="R238" s="102">
        <f t="shared" si="49"/>
        <v>21000</v>
      </c>
      <c r="S238" s="102">
        <f>R238/(L238+N238+P238)</f>
        <v>7000</v>
      </c>
      <c r="T238" s="214"/>
    </row>
    <row r="239" spans="1:20" s="140" customFormat="1" ht="45.75" customHeight="1" x14ac:dyDescent="0.3">
      <c r="A239" s="174">
        <f t="shared" si="51"/>
        <v>49</v>
      </c>
      <c r="B239" s="206" t="s">
        <v>171</v>
      </c>
      <c r="C239" s="199"/>
      <c r="D239" s="199"/>
      <c r="E239" s="200" t="s">
        <v>131</v>
      </c>
      <c r="F239" s="199">
        <v>3</v>
      </c>
      <c r="G239" s="199"/>
      <c r="H239" s="209"/>
      <c r="I239" s="174">
        <v>2</v>
      </c>
      <c r="J239" s="209">
        <v>4</v>
      </c>
      <c r="K239" s="210">
        <v>2023</v>
      </c>
      <c r="L239" s="216"/>
      <c r="M239" s="216"/>
      <c r="N239" s="184"/>
      <c r="O239" s="213"/>
      <c r="P239" s="217">
        <v>3</v>
      </c>
      <c r="Q239" s="211">
        <v>21000</v>
      </c>
      <c r="R239" s="102">
        <f t="shared" si="49"/>
        <v>21000</v>
      </c>
      <c r="S239" s="102">
        <f>R239/(L239+N239+P239)</f>
        <v>7000</v>
      </c>
      <c r="T239" s="214"/>
    </row>
    <row r="240" spans="1:20" s="140" customFormat="1" ht="75" customHeight="1" x14ac:dyDescent="0.3">
      <c r="A240" s="174">
        <f t="shared" si="51"/>
        <v>50</v>
      </c>
      <c r="B240" s="206" t="s">
        <v>174</v>
      </c>
      <c r="C240" s="199"/>
      <c r="D240" s="199"/>
      <c r="E240" s="200" t="s">
        <v>131</v>
      </c>
      <c r="F240" s="199">
        <v>3</v>
      </c>
      <c r="G240" s="199"/>
      <c r="H240" s="209"/>
      <c r="I240" s="174">
        <v>2</v>
      </c>
      <c r="J240" s="209">
        <v>4</v>
      </c>
      <c r="K240" s="210">
        <v>2023</v>
      </c>
      <c r="L240" s="216"/>
      <c r="M240" s="216"/>
      <c r="N240" s="184"/>
      <c r="O240" s="213"/>
      <c r="P240" s="230"/>
      <c r="Q240" s="211">
        <v>22000</v>
      </c>
      <c r="R240" s="102">
        <f>M240+O240+Q240</f>
        <v>22000</v>
      </c>
      <c r="S240" s="102"/>
      <c r="T240" s="214"/>
    </row>
    <row r="241" spans="1:21" s="140" customFormat="1" ht="75" x14ac:dyDescent="0.3">
      <c r="A241" s="174">
        <f t="shared" si="51"/>
        <v>51</v>
      </c>
      <c r="B241" s="206" t="s">
        <v>169</v>
      </c>
      <c r="C241" s="199"/>
      <c r="D241" s="199"/>
      <c r="E241" s="200" t="s">
        <v>131</v>
      </c>
      <c r="F241" s="199">
        <v>3</v>
      </c>
      <c r="G241" s="199"/>
      <c r="H241" s="209"/>
      <c r="I241" s="174">
        <v>2</v>
      </c>
      <c r="J241" s="209">
        <v>4</v>
      </c>
      <c r="K241" s="210">
        <v>2023</v>
      </c>
      <c r="L241" s="216"/>
      <c r="M241" s="216"/>
      <c r="N241" s="184"/>
      <c r="O241" s="213"/>
      <c r="P241" s="232"/>
      <c r="Q241" s="211">
        <v>13000</v>
      </c>
      <c r="R241" s="102">
        <f>M241+O241+Q241</f>
        <v>13000</v>
      </c>
      <c r="S241" s="102"/>
      <c r="T241" s="214"/>
    </row>
    <row r="242" spans="1:21" s="140" customFormat="1" ht="37.5" x14ac:dyDescent="0.3">
      <c r="A242" s="174">
        <f t="shared" si="51"/>
        <v>52</v>
      </c>
      <c r="B242" s="206" t="s">
        <v>209</v>
      </c>
      <c r="C242" s="199"/>
      <c r="D242" s="199"/>
      <c r="E242" s="200" t="s">
        <v>131</v>
      </c>
      <c r="F242" s="199">
        <v>4</v>
      </c>
      <c r="G242" s="199"/>
      <c r="H242" s="209"/>
      <c r="I242" s="174">
        <v>2</v>
      </c>
      <c r="J242" s="209">
        <v>4</v>
      </c>
      <c r="K242" s="210">
        <v>2024</v>
      </c>
      <c r="L242" s="216"/>
      <c r="M242" s="216"/>
      <c r="N242" s="184"/>
      <c r="O242" s="213"/>
      <c r="P242" s="217">
        <v>4.3</v>
      </c>
      <c r="Q242" s="211">
        <v>30100</v>
      </c>
      <c r="R242" s="102">
        <f t="shared" si="49"/>
        <v>30100</v>
      </c>
      <c r="S242" s="102">
        <f>R242/(L242+N242+P242)</f>
        <v>7000</v>
      </c>
      <c r="T242" s="214"/>
    </row>
    <row r="243" spans="1:21" s="140" customFormat="1" ht="33" customHeight="1" x14ac:dyDescent="0.3">
      <c r="A243" s="174">
        <f t="shared" si="51"/>
        <v>53</v>
      </c>
      <c r="B243" s="206" t="s">
        <v>173</v>
      </c>
      <c r="C243" s="199"/>
      <c r="D243" s="199"/>
      <c r="E243" s="200" t="s">
        <v>131</v>
      </c>
      <c r="F243" s="199">
        <v>4</v>
      </c>
      <c r="G243" s="199"/>
      <c r="H243" s="209"/>
      <c r="I243" s="174">
        <v>2</v>
      </c>
      <c r="J243" s="209">
        <v>4</v>
      </c>
      <c r="K243" s="210">
        <v>2024</v>
      </c>
      <c r="L243" s="216"/>
      <c r="M243" s="216"/>
      <c r="N243" s="184"/>
      <c r="O243" s="213"/>
      <c r="P243" s="217">
        <v>4</v>
      </c>
      <c r="Q243" s="211">
        <v>28000</v>
      </c>
      <c r="R243" s="102">
        <f t="shared" si="49"/>
        <v>28000</v>
      </c>
      <c r="S243" s="102">
        <f>R243/(L243+N243+P243)</f>
        <v>7000</v>
      </c>
      <c r="T243" s="214"/>
    </row>
    <row r="244" spans="1:21" s="140" customFormat="1" ht="61.5" customHeight="1" thickBot="1" x14ac:dyDescent="0.35">
      <c r="A244" s="275">
        <f t="shared" si="51"/>
        <v>54</v>
      </c>
      <c r="B244" s="258" t="s">
        <v>175</v>
      </c>
      <c r="C244" s="259"/>
      <c r="D244" s="259"/>
      <c r="E244" s="481" t="s">
        <v>39</v>
      </c>
      <c r="F244" s="259">
        <v>3</v>
      </c>
      <c r="G244" s="259"/>
      <c r="H244" s="276"/>
      <c r="I244" s="275">
        <v>2</v>
      </c>
      <c r="J244" s="276">
        <v>4</v>
      </c>
      <c r="K244" s="277">
        <v>2021</v>
      </c>
      <c r="L244" s="253"/>
      <c r="M244" s="253">
        <v>2600</v>
      </c>
      <c r="N244" s="482"/>
      <c r="O244" s="249"/>
      <c r="P244" s="483"/>
      <c r="Q244" s="484"/>
      <c r="R244" s="485">
        <f t="shared" si="49"/>
        <v>2600</v>
      </c>
      <c r="S244" s="485"/>
      <c r="T244" s="278"/>
    </row>
    <row r="245" spans="1:21" s="69" customFormat="1" ht="25.5" customHeight="1" thickBot="1" x14ac:dyDescent="0.3">
      <c r="A245" s="932" t="s">
        <v>29</v>
      </c>
      <c r="B245" s="859" t="s">
        <v>223</v>
      </c>
      <c r="C245" s="860"/>
      <c r="D245" s="860"/>
      <c r="E245" s="860"/>
      <c r="F245" s="860"/>
      <c r="G245" s="861"/>
      <c r="H245" s="279">
        <v>1</v>
      </c>
      <c r="I245" s="935" t="s">
        <v>20</v>
      </c>
      <c r="J245" s="936"/>
      <c r="K245" s="937"/>
      <c r="L245" s="10">
        <f>L246+L247+L249</f>
        <v>1331.2</v>
      </c>
      <c r="M245" s="10">
        <f>M246+M247+M248+M249</f>
        <v>450400.41982365598</v>
      </c>
      <c r="N245" s="10">
        <f>N246+N247+N249</f>
        <v>297.3</v>
      </c>
      <c r="O245" s="10">
        <f>O246+O247+O248+O249</f>
        <v>136210</v>
      </c>
      <c r="P245" s="10">
        <f>P246+P247+P249</f>
        <v>255.5</v>
      </c>
      <c r="Q245" s="10">
        <f>Q246+Q247+Q248+Q249</f>
        <v>126700</v>
      </c>
      <c r="R245" s="10">
        <f t="shared" ref="R245" si="55">R246+R247+R248+R249</f>
        <v>713310.41982365609</v>
      </c>
      <c r="S245" s="11"/>
      <c r="T245" s="280" t="s">
        <v>21</v>
      </c>
    </row>
    <row r="246" spans="1:21" s="420" customFormat="1" ht="25.5" customHeight="1" x14ac:dyDescent="0.25">
      <c r="A246" s="932"/>
      <c r="B246" s="862"/>
      <c r="C246" s="863"/>
      <c r="D246" s="863"/>
      <c r="E246" s="863"/>
      <c r="F246" s="863"/>
      <c r="G246" s="864"/>
      <c r="H246" s="426">
        <v>2</v>
      </c>
      <c r="I246" s="943" t="s">
        <v>22</v>
      </c>
      <c r="J246" s="944"/>
      <c r="K246" s="945"/>
      <c r="L246" s="414">
        <f>L250</f>
        <v>0</v>
      </c>
      <c r="M246" s="414">
        <f t="shared" ref="M246:R246" si="56">M250</f>
        <v>2335.1670000000004</v>
      </c>
      <c r="N246" s="414">
        <f t="shared" si="56"/>
        <v>0</v>
      </c>
      <c r="O246" s="414">
        <f t="shared" si="56"/>
        <v>0</v>
      </c>
      <c r="P246" s="414">
        <f t="shared" si="56"/>
        <v>0</v>
      </c>
      <c r="Q246" s="414">
        <f t="shared" si="56"/>
        <v>0</v>
      </c>
      <c r="R246" s="422">
        <f t="shared" si="56"/>
        <v>2335.1670000000004</v>
      </c>
      <c r="S246" s="461"/>
      <c r="T246" s="486"/>
    </row>
    <row r="247" spans="1:21" s="58" customFormat="1" ht="25.5" customHeight="1" x14ac:dyDescent="0.25">
      <c r="A247" s="933"/>
      <c r="B247" s="862"/>
      <c r="C247" s="863"/>
      <c r="D247" s="863"/>
      <c r="E247" s="863"/>
      <c r="F247" s="863"/>
      <c r="G247" s="864"/>
      <c r="H247" s="130">
        <v>3</v>
      </c>
      <c r="I247" s="872" t="s">
        <v>99</v>
      </c>
      <c r="J247" s="873"/>
      <c r="K247" s="874"/>
      <c r="L247" s="13">
        <f>L257</f>
        <v>0</v>
      </c>
      <c r="M247" s="13">
        <f t="shared" ref="M247:R247" si="57">M257</f>
        <v>0</v>
      </c>
      <c r="N247" s="13">
        <f t="shared" si="57"/>
        <v>0</v>
      </c>
      <c r="O247" s="13">
        <f t="shared" si="57"/>
        <v>0</v>
      </c>
      <c r="P247" s="13">
        <f t="shared" si="57"/>
        <v>0</v>
      </c>
      <c r="Q247" s="13">
        <f t="shared" si="57"/>
        <v>0</v>
      </c>
      <c r="R247" s="13">
        <f t="shared" si="57"/>
        <v>0</v>
      </c>
      <c r="S247" s="460"/>
      <c r="T247" s="282"/>
    </row>
    <row r="248" spans="1:21" s="446" customFormat="1" ht="25.5" customHeight="1" x14ac:dyDescent="0.25">
      <c r="A248" s="933"/>
      <c r="B248" s="862"/>
      <c r="C248" s="863"/>
      <c r="D248" s="863"/>
      <c r="E248" s="863"/>
      <c r="F248" s="863"/>
      <c r="G248" s="864"/>
      <c r="H248" s="450">
        <v>4</v>
      </c>
      <c r="I248" s="906" t="s">
        <v>71</v>
      </c>
      <c r="J248" s="907"/>
      <c r="K248" s="908"/>
      <c r="L248" s="436" t="str">
        <f>L259</f>
        <v>Х</v>
      </c>
      <c r="M248" s="436">
        <f>M259</f>
        <v>13720</v>
      </c>
      <c r="N248" s="436" t="str">
        <f t="shared" ref="N248:R248" si="58">N259</f>
        <v>Х</v>
      </c>
      <c r="O248" s="436">
        <f t="shared" si="58"/>
        <v>4710</v>
      </c>
      <c r="P248" s="436" t="str">
        <f t="shared" si="58"/>
        <v>Х</v>
      </c>
      <c r="Q248" s="436">
        <f t="shared" si="58"/>
        <v>0</v>
      </c>
      <c r="R248" s="436">
        <f t="shared" si="58"/>
        <v>18430</v>
      </c>
      <c r="S248" s="452"/>
      <c r="T248" s="438"/>
    </row>
    <row r="249" spans="1:21" s="58" customFormat="1" ht="25.5" customHeight="1" thickBot="1" x14ac:dyDescent="0.3">
      <c r="A249" s="934"/>
      <c r="B249" s="865"/>
      <c r="C249" s="866"/>
      <c r="D249" s="866"/>
      <c r="E249" s="866"/>
      <c r="F249" s="866"/>
      <c r="G249" s="867"/>
      <c r="H249" s="234">
        <v>5</v>
      </c>
      <c r="I249" s="909" t="s">
        <v>25</v>
      </c>
      <c r="J249" s="910"/>
      <c r="K249" s="911"/>
      <c r="L249" s="16">
        <f>L286</f>
        <v>1331.2</v>
      </c>
      <c r="M249" s="16">
        <f>M286</f>
        <v>434345.25282365596</v>
      </c>
      <c r="N249" s="16">
        <f>N286</f>
        <v>297.3</v>
      </c>
      <c r="O249" s="16">
        <f>O286</f>
        <v>131500</v>
      </c>
      <c r="P249" s="16">
        <f t="shared" ref="P249:R249" si="59">P286</f>
        <v>255.5</v>
      </c>
      <c r="Q249" s="16">
        <f t="shared" si="59"/>
        <v>126700</v>
      </c>
      <c r="R249" s="16">
        <f t="shared" si="59"/>
        <v>692545.25282365608</v>
      </c>
      <c r="S249" s="366"/>
      <c r="T249" s="283"/>
    </row>
    <row r="250" spans="1:21" s="420" customFormat="1" ht="25.5" x14ac:dyDescent="0.25">
      <c r="A250" s="409" t="s">
        <v>26</v>
      </c>
      <c r="B250" s="410"/>
      <c r="C250" s="410"/>
      <c r="D250" s="410"/>
      <c r="E250" s="411"/>
      <c r="F250" s="412"/>
      <c r="G250" s="413"/>
      <c r="H250" s="414"/>
      <c r="I250" s="414"/>
      <c r="J250" s="414"/>
      <c r="K250" s="414"/>
      <c r="L250" s="414">
        <v>0</v>
      </c>
      <c r="M250" s="414">
        <f>SUBTOTAL(9,M251:M255)</f>
        <v>2335.1670000000004</v>
      </c>
      <c r="N250" s="414">
        <f t="shared" ref="N250:R250" si="60">SUBTOTAL(9,N251:N255)</f>
        <v>0</v>
      </c>
      <c r="O250" s="414">
        <f t="shared" si="60"/>
        <v>0</v>
      </c>
      <c r="P250" s="414">
        <f t="shared" si="60"/>
        <v>0</v>
      </c>
      <c r="Q250" s="414">
        <f t="shared" si="60"/>
        <v>0</v>
      </c>
      <c r="R250" s="414">
        <f t="shared" si="60"/>
        <v>2335.1670000000004</v>
      </c>
      <c r="S250" s="425"/>
      <c r="T250" s="418"/>
      <c r="U250" s="419" t="e">
        <f>M250+#REF!+#REF!+#REF!</f>
        <v>#REF!</v>
      </c>
    </row>
    <row r="251" spans="1:21" s="252" customFormat="1" ht="63.75" customHeight="1" x14ac:dyDescent="0.3">
      <c r="A251" s="244">
        <v>1</v>
      </c>
      <c r="B251" s="245" t="s">
        <v>225</v>
      </c>
      <c r="C251" s="246"/>
      <c r="D251" s="247"/>
      <c r="E251" s="248" t="s">
        <v>135</v>
      </c>
      <c r="F251" s="247"/>
      <c r="G251" s="247"/>
      <c r="H251" s="247"/>
      <c r="I251" s="247"/>
      <c r="J251" s="247"/>
      <c r="K251" s="247"/>
      <c r="L251" s="249" t="s">
        <v>21</v>
      </c>
      <c r="M251" s="216">
        <v>350</v>
      </c>
      <c r="N251" s="249" t="s">
        <v>21</v>
      </c>
      <c r="O251" s="250"/>
      <c r="P251" s="249" t="s">
        <v>21</v>
      </c>
      <c r="Q251" s="250"/>
      <c r="R251" s="102">
        <f>M251+O251+Q251</f>
        <v>350</v>
      </c>
      <c r="S251" s="249" t="s">
        <v>21</v>
      </c>
      <c r="T251" s="251"/>
    </row>
    <row r="252" spans="1:21" s="252" customFormat="1" ht="75" x14ac:dyDescent="0.3">
      <c r="A252" s="244">
        <f>A251+1</f>
        <v>2</v>
      </c>
      <c r="B252" s="245" t="s">
        <v>226</v>
      </c>
      <c r="C252" s="246"/>
      <c r="D252" s="247"/>
      <c r="E252" s="248" t="s">
        <v>133</v>
      </c>
      <c r="F252" s="247"/>
      <c r="G252" s="247"/>
      <c r="H252" s="247"/>
      <c r="I252" s="247"/>
      <c r="J252" s="247"/>
      <c r="K252" s="247"/>
      <c r="L252" s="249" t="s">
        <v>21</v>
      </c>
      <c r="M252" s="216">
        <v>612.04100000000005</v>
      </c>
      <c r="N252" s="249" t="s">
        <v>21</v>
      </c>
      <c r="O252" s="250"/>
      <c r="P252" s="249" t="s">
        <v>21</v>
      </c>
      <c r="Q252" s="250"/>
      <c r="R252" s="102">
        <f>M252+O252+Q252</f>
        <v>612.04100000000005</v>
      </c>
      <c r="S252" s="249" t="s">
        <v>21</v>
      </c>
      <c r="T252" s="251"/>
    </row>
    <row r="253" spans="1:21" s="252" customFormat="1" ht="75" x14ac:dyDescent="0.3">
      <c r="A253" s="244">
        <f>A252+1</f>
        <v>3</v>
      </c>
      <c r="B253" s="245" t="s">
        <v>227</v>
      </c>
      <c r="C253" s="246"/>
      <c r="D253" s="247"/>
      <c r="E253" s="248" t="s">
        <v>135</v>
      </c>
      <c r="F253" s="247"/>
      <c r="G253" s="247"/>
      <c r="H253" s="247"/>
      <c r="I253" s="247"/>
      <c r="J253" s="247"/>
      <c r="K253" s="247"/>
      <c r="L253" s="249" t="s">
        <v>21</v>
      </c>
      <c r="M253" s="216">
        <v>405</v>
      </c>
      <c r="N253" s="249" t="s">
        <v>21</v>
      </c>
      <c r="O253" s="250"/>
      <c r="P253" s="249" t="s">
        <v>21</v>
      </c>
      <c r="Q253" s="250"/>
      <c r="R253" s="102">
        <f>M253+O253+Q253</f>
        <v>405</v>
      </c>
      <c r="S253" s="249" t="s">
        <v>21</v>
      </c>
      <c r="T253" s="251"/>
    </row>
    <row r="254" spans="1:21" s="252" customFormat="1" ht="63.75" customHeight="1" x14ac:dyDescent="0.3">
      <c r="A254" s="244">
        <f>A253+1</f>
        <v>4</v>
      </c>
      <c r="B254" s="245" t="s">
        <v>228</v>
      </c>
      <c r="C254" s="246"/>
      <c r="D254" s="247"/>
      <c r="E254" s="248" t="s">
        <v>89</v>
      </c>
      <c r="F254" s="247"/>
      <c r="G254" s="247"/>
      <c r="H254" s="247"/>
      <c r="I254" s="247"/>
      <c r="J254" s="247"/>
      <c r="K254" s="247"/>
      <c r="L254" s="249" t="s">
        <v>21</v>
      </c>
      <c r="M254" s="216">
        <v>258.12599999999998</v>
      </c>
      <c r="N254" s="249" t="s">
        <v>21</v>
      </c>
      <c r="O254" s="250"/>
      <c r="P254" s="249" t="s">
        <v>21</v>
      </c>
      <c r="Q254" s="250"/>
      <c r="R254" s="102">
        <f>M254+O254+Q254</f>
        <v>258.12599999999998</v>
      </c>
      <c r="S254" s="249" t="s">
        <v>21</v>
      </c>
      <c r="T254" s="251"/>
    </row>
    <row r="255" spans="1:21" s="252" customFormat="1" ht="82.5" customHeight="1" x14ac:dyDescent="0.3">
      <c r="A255" s="244">
        <f>A254+1</f>
        <v>5</v>
      </c>
      <c r="B255" s="245" t="s">
        <v>326</v>
      </c>
      <c r="C255" s="246"/>
      <c r="D255" s="247"/>
      <c r="E255" s="248" t="s">
        <v>135</v>
      </c>
      <c r="F255" s="247"/>
      <c r="G255" s="247"/>
      <c r="H255" s="247"/>
      <c r="I255" s="247"/>
      <c r="J255" s="247"/>
      <c r="K255" s="247"/>
      <c r="L255" s="249" t="s">
        <v>21</v>
      </c>
      <c r="M255" s="253">
        <v>710</v>
      </c>
      <c r="N255" s="249" t="s">
        <v>21</v>
      </c>
      <c r="O255" s="250"/>
      <c r="P255" s="249" t="s">
        <v>21</v>
      </c>
      <c r="Q255" s="250"/>
      <c r="R255" s="102">
        <f>M255+O255+Q255</f>
        <v>710</v>
      </c>
      <c r="S255" s="249" t="s">
        <v>21</v>
      </c>
      <c r="T255" s="251"/>
    </row>
    <row r="256" spans="1:21" s="140" customFormat="1" ht="18.75" x14ac:dyDescent="0.3">
      <c r="A256" s="132"/>
      <c r="B256" s="236"/>
      <c r="C256" s="134"/>
      <c r="D256" s="73"/>
      <c r="E256" s="135"/>
      <c r="F256" s="136"/>
      <c r="G256" s="42"/>
      <c r="H256" s="137"/>
      <c r="I256" s="49"/>
      <c r="J256" s="44"/>
      <c r="K256" s="42"/>
      <c r="L256" s="171"/>
      <c r="M256" s="151"/>
      <c r="N256" s="125"/>
      <c r="O256" s="22"/>
      <c r="P256" s="125"/>
      <c r="Q256" s="113"/>
      <c r="R256" s="113"/>
      <c r="S256" s="125"/>
      <c r="T256" s="139"/>
    </row>
    <row r="257" spans="1:20" s="69" customFormat="1" ht="25.5" x14ac:dyDescent="0.25">
      <c r="A257" s="141"/>
      <c r="B257" s="142" t="s">
        <v>99</v>
      </c>
      <c r="C257" s="62"/>
      <c r="D257" s="63"/>
      <c r="E257" s="64"/>
      <c r="F257" s="65"/>
      <c r="G257" s="66"/>
      <c r="H257" s="66"/>
      <c r="I257" s="67"/>
      <c r="J257" s="68"/>
      <c r="K257" s="68"/>
      <c r="L257" s="13">
        <v>0</v>
      </c>
      <c r="M257" s="237">
        <v>0</v>
      </c>
      <c r="N257" s="13">
        <v>0</v>
      </c>
      <c r="O257" s="238">
        <v>0</v>
      </c>
      <c r="P257" s="13">
        <v>0</v>
      </c>
      <c r="Q257" s="238">
        <v>0</v>
      </c>
      <c r="R257" s="238">
        <v>0</v>
      </c>
      <c r="S257" s="25"/>
      <c r="T257" s="26"/>
    </row>
    <row r="258" spans="1:20" s="140" customFormat="1" ht="20.25" x14ac:dyDescent="0.3">
      <c r="A258" s="132"/>
      <c r="B258" s="239"/>
      <c r="C258" s="240"/>
      <c r="D258" s="240"/>
      <c r="E258" s="135"/>
      <c r="F258" s="241"/>
      <c r="G258" s="136"/>
      <c r="H258" s="44"/>
      <c r="I258" s="49"/>
      <c r="J258" s="51"/>
      <c r="K258" s="42"/>
      <c r="L258" s="242"/>
      <c r="M258" s="243"/>
      <c r="N258" s="138"/>
      <c r="O258" s="138"/>
      <c r="P258" s="22"/>
      <c r="Q258" s="113"/>
      <c r="R258" s="113"/>
      <c r="S258" s="22"/>
      <c r="T258" s="135"/>
    </row>
    <row r="259" spans="1:20" s="449" customFormat="1" ht="32.25" customHeight="1" x14ac:dyDescent="0.25">
      <c r="A259" s="439"/>
      <c r="B259" s="440" t="s">
        <v>224</v>
      </c>
      <c r="C259" s="441"/>
      <c r="D259" s="442"/>
      <c r="E259" s="442"/>
      <c r="F259" s="442"/>
      <c r="G259" s="442"/>
      <c r="H259" s="442"/>
      <c r="I259" s="442"/>
      <c r="J259" s="442"/>
      <c r="K259" s="442"/>
      <c r="L259" s="443" t="s">
        <v>21</v>
      </c>
      <c r="M259" s="443">
        <f>SUBTOTAL(9,M260:M285)</f>
        <v>13720</v>
      </c>
      <c r="N259" s="443" t="s">
        <v>21</v>
      </c>
      <c r="O259" s="443">
        <f>SUBTOTAL(9,O260:O285)</f>
        <v>4710</v>
      </c>
      <c r="P259" s="443" t="s">
        <v>21</v>
      </c>
      <c r="Q259" s="443">
        <f>SUBTOTAL(9,Q260:Q285)</f>
        <v>0</v>
      </c>
      <c r="R259" s="443">
        <f>SUBTOTAL(9,R260:R285)</f>
        <v>18430</v>
      </c>
      <c r="S259" s="447"/>
      <c r="T259" s="448"/>
    </row>
    <row r="260" spans="1:20" s="252" customFormat="1" ht="56.25" x14ac:dyDescent="0.3">
      <c r="A260" s="244">
        <v>1</v>
      </c>
      <c r="B260" s="254" t="s">
        <v>229</v>
      </c>
      <c r="C260" s="246"/>
      <c r="D260" s="247"/>
      <c r="E260" s="248" t="s">
        <v>89</v>
      </c>
      <c r="F260" s="247"/>
      <c r="G260" s="247"/>
      <c r="H260" s="247"/>
      <c r="I260" s="247"/>
      <c r="J260" s="247"/>
      <c r="K260" s="247"/>
      <c r="L260" s="249" t="s">
        <v>21</v>
      </c>
      <c r="M260" s="253">
        <v>700</v>
      </c>
      <c r="N260" s="249" t="s">
        <v>21</v>
      </c>
      <c r="O260" s="250"/>
      <c r="P260" s="249" t="s">
        <v>21</v>
      </c>
      <c r="Q260" s="250"/>
      <c r="R260" s="102">
        <f t="shared" ref="R260:R285" si="61">M260+O260+Q260</f>
        <v>700</v>
      </c>
      <c r="S260" s="249" t="s">
        <v>21</v>
      </c>
      <c r="T260" s="251"/>
    </row>
    <row r="261" spans="1:20" s="252" customFormat="1" ht="65.25" customHeight="1" x14ac:dyDescent="0.3">
      <c r="A261" s="244">
        <f t="shared" ref="A261:A285" si="62">A260+1</f>
        <v>2</v>
      </c>
      <c r="B261" s="255" t="s">
        <v>230</v>
      </c>
      <c r="C261" s="199"/>
      <c r="D261" s="199"/>
      <c r="E261" s="200" t="s">
        <v>39</v>
      </c>
      <c r="F261" s="247"/>
      <c r="G261" s="247"/>
      <c r="H261" s="247"/>
      <c r="I261" s="247"/>
      <c r="J261" s="247"/>
      <c r="K261" s="247"/>
      <c r="L261" s="249" t="s">
        <v>21</v>
      </c>
      <c r="M261" s="253">
        <v>450</v>
      </c>
      <c r="N261" s="249" t="s">
        <v>21</v>
      </c>
      <c r="O261" s="250"/>
      <c r="P261" s="249" t="s">
        <v>21</v>
      </c>
      <c r="Q261" s="250"/>
      <c r="R261" s="102">
        <f t="shared" si="61"/>
        <v>450</v>
      </c>
      <c r="S261" s="249" t="s">
        <v>21</v>
      </c>
      <c r="T261" s="251"/>
    </row>
    <row r="262" spans="1:20" s="252" customFormat="1" ht="56.25" x14ac:dyDescent="0.3">
      <c r="A262" s="244">
        <f t="shared" si="62"/>
        <v>3</v>
      </c>
      <c r="B262" s="255" t="s">
        <v>231</v>
      </c>
      <c r="C262" s="199"/>
      <c r="D262" s="199"/>
      <c r="E262" s="200" t="s">
        <v>39</v>
      </c>
      <c r="F262" s="247"/>
      <c r="G262" s="247"/>
      <c r="H262" s="247"/>
      <c r="I262" s="247"/>
      <c r="J262" s="247"/>
      <c r="K262" s="247"/>
      <c r="L262" s="249" t="s">
        <v>21</v>
      </c>
      <c r="M262" s="253">
        <v>500</v>
      </c>
      <c r="N262" s="249" t="s">
        <v>21</v>
      </c>
      <c r="O262" s="250"/>
      <c r="P262" s="249" t="s">
        <v>21</v>
      </c>
      <c r="Q262" s="250"/>
      <c r="R262" s="102">
        <f t="shared" si="61"/>
        <v>500</v>
      </c>
      <c r="S262" s="249" t="s">
        <v>21</v>
      </c>
      <c r="T262" s="251"/>
    </row>
    <row r="263" spans="1:20" s="252" customFormat="1" ht="75" x14ac:dyDescent="0.3">
      <c r="A263" s="244">
        <f t="shared" si="62"/>
        <v>4</v>
      </c>
      <c r="B263" s="255" t="s">
        <v>232</v>
      </c>
      <c r="C263" s="199"/>
      <c r="D263" s="199"/>
      <c r="E263" s="200" t="s">
        <v>89</v>
      </c>
      <c r="F263" s="247"/>
      <c r="G263" s="247"/>
      <c r="H263" s="247"/>
      <c r="I263" s="247"/>
      <c r="J263" s="247"/>
      <c r="K263" s="247"/>
      <c r="L263" s="249" t="s">
        <v>21</v>
      </c>
      <c r="M263" s="253">
        <v>700</v>
      </c>
      <c r="N263" s="249" t="s">
        <v>21</v>
      </c>
      <c r="O263" s="250"/>
      <c r="P263" s="249" t="s">
        <v>21</v>
      </c>
      <c r="Q263" s="250"/>
      <c r="R263" s="102">
        <f t="shared" si="61"/>
        <v>700</v>
      </c>
      <c r="S263" s="249" t="s">
        <v>21</v>
      </c>
      <c r="T263" s="251"/>
    </row>
    <row r="264" spans="1:20" s="252" customFormat="1" ht="56.25" x14ac:dyDescent="0.3">
      <c r="A264" s="244">
        <f t="shared" si="62"/>
        <v>5</v>
      </c>
      <c r="B264" s="255" t="s">
        <v>233</v>
      </c>
      <c r="C264" s="199"/>
      <c r="D264" s="199"/>
      <c r="E264" s="200" t="s">
        <v>39</v>
      </c>
      <c r="F264" s="247"/>
      <c r="G264" s="247"/>
      <c r="H264" s="247"/>
      <c r="I264" s="247"/>
      <c r="J264" s="247"/>
      <c r="K264" s="247"/>
      <c r="L264" s="249" t="s">
        <v>21</v>
      </c>
      <c r="M264" s="253">
        <v>500</v>
      </c>
      <c r="N264" s="249" t="s">
        <v>21</v>
      </c>
      <c r="O264" s="250"/>
      <c r="P264" s="249" t="s">
        <v>21</v>
      </c>
      <c r="Q264" s="250"/>
      <c r="R264" s="102">
        <f t="shared" si="61"/>
        <v>500</v>
      </c>
      <c r="S264" s="249" t="s">
        <v>21</v>
      </c>
      <c r="T264" s="251"/>
    </row>
    <row r="265" spans="1:20" s="252" customFormat="1" ht="85.5" customHeight="1" x14ac:dyDescent="0.3">
      <c r="A265" s="244">
        <f t="shared" si="62"/>
        <v>6</v>
      </c>
      <c r="B265" s="201" t="s">
        <v>234</v>
      </c>
      <c r="C265" s="199"/>
      <c r="D265" s="199"/>
      <c r="E265" s="200" t="s">
        <v>39</v>
      </c>
      <c r="F265" s="247"/>
      <c r="G265" s="247"/>
      <c r="H265" s="247"/>
      <c r="I265" s="247"/>
      <c r="J265" s="247"/>
      <c r="K265" s="247"/>
      <c r="L265" s="249" t="s">
        <v>21</v>
      </c>
      <c r="M265" s="253">
        <v>600</v>
      </c>
      <c r="N265" s="249" t="s">
        <v>21</v>
      </c>
      <c r="O265" s="250"/>
      <c r="P265" s="249" t="s">
        <v>21</v>
      </c>
      <c r="Q265" s="250"/>
      <c r="R265" s="102">
        <f t="shared" si="61"/>
        <v>600</v>
      </c>
      <c r="S265" s="249" t="s">
        <v>21</v>
      </c>
      <c r="T265" s="251"/>
    </row>
    <row r="266" spans="1:20" s="252" customFormat="1" ht="77.25" customHeight="1" x14ac:dyDescent="0.3">
      <c r="A266" s="244">
        <f t="shared" si="62"/>
        <v>7</v>
      </c>
      <c r="B266" s="255" t="s">
        <v>235</v>
      </c>
      <c r="C266" s="199"/>
      <c r="D266" s="199"/>
      <c r="E266" s="200" t="s">
        <v>74</v>
      </c>
      <c r="F266" s="247"/>
      <c r="G266" s="247"/>
      <c r="H266" s="247"/>
      <c r="I266" s="247"/>
      <c r="J266" s="247"/>
      <c r="K266" s="247"/>
      <c r="L266" s="249" t="s">
        <v>21</v>
      </c>
      <c r="M266" s="253">
        <v>650</v>
      </c>
      <c r="N266" s="249" t="s">
        <v>21</v>
      </c>
      <c r="O266" s="250"/>
      <c r="P266" s="249" t="s">
        <v>21</v>
      </c>
      <c r="Q266" s="250"/>
      <c r="R266" s="102">
        <f t="shared" si="61"/>
        <v>650</v>
      </c>
      <c r="S266" s="249" t="s">
        <v>21</v>
      </c>
      <c r="T266" s="251"/>
    </row>
    <row r="267" spans="1:20" s="252" customFormat="1" ht="56.25" x14ac:dyDescent="0.3">
      <c r="A267" s="244">
        <f t="shared" si="62"/>
        <v>8</v>
      </c>
      <c r="B267" s="255" t="s">
        <v>231</v>
      </c>
      <c r="C267" s="199"/>
      <c r="D267" s="199"/>
      <c r="E267" s="200" t="s">
        <v>39</v>
      </c>
      <c r="F267" s="247"/>
      <c r="G267" s="247"/>
      <c r="H267" s="247"/>
      <c r="I267" s="247"/>
      <c r="J267" s="247"/>
      <c r="K267" s="247"/>
      <c r="L267" s="249" t="s">
        <v>21</v>
      </c>
      <c r="M267" s="253">
        <v>600</v>
      </c>
      <c r="N267" s="249" t="s">
        <v>21</v>
      </c>
      <c r="O267" s="250"/>
      <c r="P267" s="249" t="s">
        <v>21</v>
      </c>
      <c r="Q267" s="250"/>
      <c r="R267" s="102">
        <f t="shared" si="61"/>
        <v>600</v>
      </c>
      <c r="S267" s="249" t="s">
        <v>21</v>
      </c>
      <c r="T267" s="251"/>
    </row>
    <row r="268" spans="1:20" s="252" customFormat="1" ht="75" x14ac:dyDescent="0.3">
      <c r="A268" s="244">
        <f t="shared" si="62"/>
        <v>9</v>
      </c>
      <c r="B268" s="255" t="s">
        <v>232</v>
      </c>
      <c r="C268" s="199"/>
      <c r="D268" s="199"/>
      <c r="E268" s="200" t="s">
        <v>89</v>
      </c>
      <c r="F268" s="247"/>
      <c r="G268" s="247"/>
      <c r="H268" s="247"/>
      <c r="I268" s="247"/>
      <c r="J268" s="247"/>
      <c r="K268" s="247"/>
      <c r="L268" s="249" t="s">
        <v>21</v>
      </c>
      <c r="M268" s="253">
        <v>700</v>
      </c>
      <c r="N268" s="249" t="s">
        <v>21</v>
      </c>
      <c r="O268" s="250"/>
      <c r="P268" s="249" t="s">
        <v>21</v>
      </c>
      <c r="Q268" s="250"/>
      <c r="R268" s="102">
        <f t="shared" si="61"/>
        <v>700</v>
      </c>
      <c r="S268" s="249" t="s">
        <v>21</v>
      </c>
      <c r="T268" s="251"/>
    </row>
    <row r="269" spans="1:20" s="252" customFormat="1" ht="56.25" x14ac:dyDescent="0.3">
      <c r="A269" s="244">
        <f t="shared" si="62"/>
        <v>10</v>
      </c>
      <c r="B269" s="255" t="s">
        <v>236</v>
      </c>
      <c r="C269" s="199"/>
      <c r="D269" s="199"/>
      <c r="E269" s="200" t="s">
        <v>39</v>
      </c>
      <c r="F269" s="247"/>
      <c r="G269" s="247"/>
      <c r="H269" s="247"/>
      <c r="I269" s="247"/>
      <c r="J269" s="247"/>
      <c r="K269" s="247"/>
      <c r="L269" s="249" t="s">
        <v>21</v>
      </c>
      <c r="M269" s="253">
        <v>450</v>
      </c>
      <c r="N269" s="249" t="s">
        <v>21</v>
      </c>
      <c r="O269" s="250"/>
      <c r="P269" s="249" t="s">
        <v>21</v>
      </c>
      <c r="Q269" s="250"/>
      <c r="R269" s="102">
        <f t="shared" si="61"/>
        <v>450</v>
      </c>
      <c r="S269" s="249" t="s">
        <v>21</v>
      </c>
      <c r="T269" s="251"/>
    </row>
    <row r="270" spans="1:20" s="252" customFormat="1" ht="56.25" x14ac:dyDescent="0.3">
      <c r="A270" s="244">
        <f t="shared" si="62"/>
        <v>11</v>
      </c>
      <c r="B270" s="255" t="s">
        <v>233</v>
      </c>
      <c r="C270" s="199"/>
      <c r="D270" s="199"/>
      <c r="E270" s="200" t="s">
        <v>39</v>
      </c>
      <c r="F270" s="247"/>
      <c r="G270" s="247"/>
      <c r="H270" s="247"/>
      <c r="I270" s="247"/>
      <c r="J270" s="247"/>
      <c r="K270" s="247"/>
      <c r="L270" s="249" t="s">
        <v>21</v>
      </c>
      <c r="M270" s="253">
        <v>430</v>
      </c>
      <c r="N270" s="249" t="s">
        <v>21</v>
      </c>
      <c r="O270" s="250"/>
      <c r="P270" s="249" t="s">
        <v>21</v>
      </c>
      <c r="Q270" s="250"/>
      <c r="R270" s="102">
        <f t="shared" si="61"/>
        <v>430</v>
      </c>
      <c r="S270" s="249" t="s">
        <v>21</v>
      </c>
      <c r="T270" s="251"/>
    </row>
    <row r="271" spans="1:20" s="252" customFormat="1" ht="75" x14ac:dyDescent="0.3">
      <c r="A271" s="244">
        <f t="shared" si="62"/>
        <v>12</v>
      </c>
      <c r="B271" s="198" t="s">
        <v>237</v>
      </c>
      <c r="C271" s="199"/>
      <c r="D271" s="199"/>
      <c r="E271" s="200" t="s">
        <v>238</v>
      </c>
      <c r="F271" s="247"/>
      <c r="G271" s="247"/>
      <c r="H271" s="247"/>
      <c r="I271" s="247"/>
      <c r="J271" s="247"/>
      <c r="K271" s="247"/>
      <c r="L271" s="249" t="s">
        <v>21</v>
      </c>
      <c r="M271" s="253">
        <v>520</v>
      </c>
      <c r="N271" s="249" t="s">
        <v>21</v>
      </c>
      <c r="O271" s="250"/>
      <c r="P271" s="249" t="s">
        <v>21</v>
      </c>
      <c r="Q271" s="250"/>
      <c r="R271" s="102">
        <f t="shared" si="61"/>
        <v>520</v>
      </c>
      <c r="S271" s="249" t="s">
        <v>21</v>
      </c>
      <c r="T271" s="251"/>
    </row>
    <row r="272" spans="1:20" s="252" customFormat="1" ht="80.25" customHeight="1" x14ac:dyDescent="0.3">
      <c r="A272" s="244">
        <f t="shared" si="62"/>
        <v>13</v>
      </c>
      <c r="B272" s="204" t="s">
        <v>211</v>
      </c>
      <c r="C272" s="199"/>
      <c r="D272" s="199"/>
      <c r="E272" s="200" t="s">
        <v>131</v>
      </c>
      <c r="F272" s="247"/>
      <c r="G272" s="247"/>
      <c r="H272" s="247"/>
      <c r="I272" s="247"/>
      <c r="J272" s="247"/>
      <c r="K272" s="247"/>
      <c r="L272" s="249" t="s">
        <v>21</v>
      </c>
      <c r="M272" s="253"/>
      <c r="N272" s="249" t="s">
        <v>21</v>
      </c>
      <c r="O272" s="249">
        <v>650</v>
      </c>
      <c r="P272" s="249" t="s">
        <v>21</v>
      </c>
      <c r="Q272" s="250"/>
      <c r="R272" s="102">
        <f t="shared" si="61"/>
        <v>650</v>
      </c>
      <c r="S272" s="249" t="s">
        <v>21</v>
      </c>
      <c r="T272" s="251"/>
    </row>
    <row r="273" spans="1:20" s="252" customFormat="1" ht="67.5" customHeight="1" x14ac:dyDescent="0.3">
      <c r="A273" s="244">
        <f t="shared" si="62"/>
        <v>14</v>
      </c>
      <c r="B273" s="233" t="s">
        <v>212</v>
      </c>
      <c r="C273" s="199"/>
      <c r="D273" s="199"/>
      <c r="E273" s="200" t="s">
        <v>74</v>
      </c>
      <c r="F273" s="247"/>
      <c r="G273" s="247"/>
      <c r="H273" s="247"/>
      <c r="I273" s="247"/>
      <c r="J273" s="247"/>
      <c r="K273" s="247"/>
      <c r="L273" s="249" t="s">
        <v>21</v>
      </c>
      <c r="M273" s="253">
        <v>2700</v>
      </c>
      <c r="N273" s="249" t="s">
        <v>21</v>
      </c>
      <c r="O273" s="250"/>
      <c r="P273" s="249" t="s">
        <v>21</v>
      </c>
      <c r="Q273" s="250"/>
      <c r="R273" s="102">
        <f t="shared" si="61"/>
        <v>2700</v>
      </c>
      <c r="S273" s="249" t="s">
        <v>21</v>
      </c>
      <c r="T273" s="251"/>
    </row>
    <row r="274" spans="1:20" s="252" customFormat="1" ht="61.5" customHeight="1" x14ac:dyDescent="0.3">
      <c r="A274" s="244">
        <f t="shared" si="62"/>
        <v>15</v>
      </c>
      <c r="B274" s="233" t="s">
        <v>213</v>
      </c>
      <c r="C274" s="199"/>
      <c r="D274" s="199"/>
      <c r="E274" s="200" t="s">
        <v>131</v>
      </c>
      <c r="F274" s="247"/>
      <c r="G274" s="247"/>
      <c r="H274" s="247"/>
      <c r="I274" s="247"/>
      <c r="J274" s="247"/>
      <c r="K274" s="247"/>
      <c r="L274" s="249" t="s">
        <v>21</v>
      </c>
      <c r="M274" s="253"/>
      <c r="N274" s="249" t="s">
        <v>21</v>
      </c>
      <c r="O274" s="253">
        <v>500</v>
      </c>
      <c r="P274" s="249" t="s">
        <v>21</v>
      </c>
      <c r="Q274" s="250"/>
      <c r="R274" s="102">
        <f t="shared" si="61"/>
        <v>500</v>
      </c>
      <c r="S274" s="249" t="s">
        <v>21</v>
      </c>
      <c r="T274" s="251"/>
    </row>
    <row r="275" spans="1:20" s="252" customFormat="1" ht="64.5" customHeight="1" x14ac:dyDescent="0.3">
      <c r="A275" s="244">
        <f t="shared" si="62"/>
        <v>16</v>
      </c>
      <c r="B275" s="233" t="s">
        <v>214</v>
      </c>
      <c r="C275" s="199"/>
      <c r="D275" s="199"/>
      <c r="E275" s="200" t="s">
        <v>131</v>
      </c>
      <c r="F275" s="247"/>
      <c r="G275" s="247"/>
      <c r="H275" s="247"/>
      <c r="I275" s="247"/>
      <c r="J275" s="247"/>
      <c r="K275" s="247"/>
      <c r="L275" s="249" t="s">
        <v>21</v>
      </c>
      <c r="M275" s="253"/>
      <c r="N275" s="249" t="s">
        <v>21</v>
      </c>
      <c r="O275" s="249">
        <v>500</v>
      </c>
      <c r="P275" s="249" t="s">
        <v>21</v>
      </c>
      <c r="Q275" s="250"/>
      <c r="R275" s="102">
        <f t="shared" si="61"/>
        <v>500</v>
      </c>
      <c r="S275" s="249" t="s">
        <v>21</v>
      </c>
      <c r="T275" s="251"/>
    </row>
    <row r="276" spans="1:20" s="252" customFormat="1" ht="46.5" customHeight="1" x14ac:dyDescent="0.3">
      <c r="A276" s="244">
        <f t="shared" si="62"/>
        <v>17</v>
      </c>
      <c r="B276" s="198" t="s">
        <v>215</v>
      </c>
      <c r="C276" s="199"/>
      <c r="D276" s="199"/>
      <c r="E276" s="200" t="s">
        <v>131</v>
      </c>
      <c r="F276" s="247"/>
      <c r="G276" s="247"/>
      <c r="H276" s="247"/>
      <c r="I276" s="247"/>
      <c r="J276" s="247"/>
      <c r="K276" s="247"/>
      <c r="L276" s="249" t="s">
        <v>21</v>
      </c>
      <c r="M276" s="253"/>
      <c r="N276" s="249" t="s">
        <v>21</v>
      </c>
      <c r="O276" s="249">
        <v>2500</v>
      </c>
      <c r="P276" s="249" t="s">
        <v>21</v>
      </c>
      <c r="Q276" s="250"/>
      <c r="R276" s="102">
        <f t="shared" si="61"/>
        <v>2500</v>
      </c>
      <c r="S276" s="249" t="s">
        <v>21</v>
      </c>
      <c r="T276" s="251"/>
    </row>
    <row r="277" spans="1:20" s="252" customFormat="1" ht="56.25" x14ac:dyDescent="0.3">
      <c r="A277" s="244">
        <f t="shared" si="62"/>
        <v>18</v>
      </c>
      <c r="B277" s="204" t="s">
        <v>216</v>
      </c>
      <c r="C277" s="199"/>
      <c r="D277" s="199"/>
      <c r="E277" s="200" t="s">
        <v>89</v>
      </c>
      <c r="F277" s="247"/>
      <c r="G277" s="247"/>
      <c r="H277" s="247"/>
      <c r="I277" s="247"/>
      <c r="J277" s="247"/>
      <c r="K277" s="247"/>
      <c r="L277" s="249" t="s">
        <v>21</v>
      </c>
      <c r="M277" s="253">
        <v>630</v>
      </c>
      <c r="N277" s="249" t="s">
        <v>21</v>
      </c>
      <c r="O277" s="250"/>
      <c r="P277" s="249" t="s">
        <v>21</v>
      </c>
      <c r="Q277" s="250"/>
      <c r="R277" s="102">
        <f t="shared" si="61"/>
        <v>630</v>
      </c>
      <c r="S277" s="249" t="s">
        <v>21</v>
      </c>
      <c r="T277" s="251"/>
    </row>
    <row r="278" spans="1:20" s="252" customFormat="1" ht="56.25" x14ac:dyDescent="0.3">
      <c r="A278" s="244">
        <f t="shared" si="62"/>
        <v>19</v>
      </c>
      <c r="B278" s="204" t="s">
        <v>217</v>
      </c>
      <c r="C278" s="199"/>
      <c r="D278" s="199"/>
      <c r="E278" s="200" t="s">
        <v>89</v>
      </c>
      <c r="F278" s="247"/>
      <c r="G278" s="247"/>
      <c r="H278" s="247"/>
      <c r="I278" s="247"/>
      <c r="J278" s="247"/>
      <c r="K278" s="247"/>
      <c r="L278" s="249" t="s">
        <v>21</v>
      </c>
      <c r="M278" s="253">
        <v>550</v>
      </c>
      <c r="N278" s="249" t="s">
        <v>21</v>
      </c>
      <c r="O278" s="250"/>
      <c r="P278" s="249" t="s">
        <v>21</v>
      </c>
      <c r="Q278" s="250"/>
      <c r="R278" s="102">
        <f t="shared" si="61"/>
        <v>550</v>
      </c>
      <c r="S278" s="249" t="s">
        <v>21</v>
      </c>
      <c r="T278" s="251"/>
    </row>
    <row r="279" spans="1:20" s="252" customFormat="1" ht="56.25" x14ac:dyDescent="0.3">
      <c r="A279" s="244">
        <f t="shared" si="62"/>
        <v>20</v>
      </c>
      <c r="B279" s="204" t="s">
        <v>218</v>
      </c>
      <c r="C279" s="199"/>
      <c r="D279" s="199"/>
      <c r="E279" s="248" t="s">
        <v>79</v>
      </c>
      <c r="F279" s="246"/>
      <c r="G279" s="246"/>
      <c r="H279" s="246"/>
      <c r="I279" s="246"/>
      <c r="J279" s="246"/>
      <c r="K279" s="246"/>
      <c r="L279" s="213" t="s">
        <v>21</v>
      </c>
      <c r="M279" s="216">
        <v>450</v>
      </c>
      <c r="N279" s="213" t="s">
        <v>21</v>
      </c>
      <c r="O279" s="287"/>
      <c r="P279" s="213" t="s">
        <v>21</v>
      </c>
      <c r="Q279" s="287"/>
      <c r="R279" s="76">
        <f t="shared" si="61"/>
        <v>450</v>
      </c>
      <c r="S279" s="213" t="s">
        <v>21</v>
      </c>
      <c r="T279" s="391"/>
    </row>
    <row r="280" spans="1:20" s="252" customFormat="1" ht="61.5" customHeight="1" x14ac:dyDescent="0.3">
      <c r="A280" s="244">
        <f t="shared" si="62"/>
        <v>21</v>
      </c>
      <c r="B280" s="204" t="s">
        <v>219</v>
      </c>
      <c r="C280" s="199"/>
      <c r="D280" s="199"/>
      <c r="E280" s="248" t="s">
        <v>89</v>
      </c>
      <c r="F280" s="246"/>
      <c r="G280" s="246"/>
      <c r="H280" s="246"/>
      <c r="I280" s="246"/>
      <c r="J280" s="246"/>
      <c r="K280" s="246"/>
      <c r="L280" s="213" t="s">
        <v>21</v>
      </c>
      <c r="M280" s="216">
        <v>380</v>
      </c>
      <c r="N280" s="213" t="s">
        <v>21</v>
      </c>
      <c r="O280" s="287"/>
      <c r="P280" s="213" t="s">
        <v>21</v>
      </c>
      <c r="Q280" s="287"/>
      <c r="R280" s="76">
        <f t="shared" si="61"/>
        <v>380</v>
      </c>
      <c r="S280" s="213" t="s">
        <v>21</v>
      </c>
      <c r="T280" s="391"/>
    </row>
    <row r="281" spans="1:20" s="252" customFormat="1" ht="56.25" x14ac:dyDescent="0.3">
      <c r="A281" s="244">
        <f t="shared" si="62"/>
        <v>22</v>
      </c>
      <c r="B281" s="256" t="s">
        <v>239</v>
      </c>
      <c r="C281" s="199"/>
      <c r="D281" s="199"/>
      <c r="E281" s="200" t="s">
        <v>74</v>
      </c>
      <c r="F281" s="247"/>
      <c r="G281" s="247"/>
      <c r="H281" s="247"/>
      <c r="I281" s="247"/>
      <c r="J281" s="247"/>
      <c r="K281" s="247"/>
      <c r="L281" s="249" t="s">
        <v>21</v>
      </c>
      <c r="M281" s="253">
        <v>400</v>
      </c>
      <c r="N281" s="249" t="s">
        <v>21</v>
      </c>
      <c r="O281" s="250"/>
      <c r="P281" s="249" t="s">
        <v>21</v>
      </c>
      <c r="Q281" s="250"/>
      <c r="R281" s="102">
        <f t="shared" si="61"/>
        <v>400</v>
      </c>
      <c r="S281" s="249" t="s">
        <v>21</v>
      </c>
      <c r="T281" s="251"/>
    </row>
    <row r="282" spans="1:20" s="252" customFormat="1" ht="56.25" x14ac:dyDescent="0.3">
      <c r="A282" s="244">
        <f t="shared" si="62"/>
        <v>23</v>
      </c>
      <c r="B282" s="256" t="s">
        <v>240</v>
      </c>
      <c r="C282" s="199"/>
      <c r="D282" s="199"/>
      <c r="E282" s="200" t="s">
        <v>39</v>
      </c>
      <c r="F282" s="247"/>
      <c r="G282" s="247"/>
      <c r="H282" s="247"/>
      <c r="I282" s="247"/>
      <c r="J282" s="247"/>
      <c r="K282" s="247"/>
      <c r="L282" s="249" t="s">
        <v>21</v>
      </c>
      <c r="M282" s="253">
        <v>460</v>
      </c>
      <c r="N282" s="249" t="s">
        <v>21</v>
      </c>
      <c r="O282" s="250"/>
      <c r="P282" s="249" t="s">
        <v>21</v>
      </c>
      <c r="Q282" s="250"/>
      <c r="R282" s="102">
        <f t="shared" si="61"/>
        <v>460</v>
      </c>
      <c r="S282" s="249" t="s">
        <v>21</v>
      </c>
      <c r="T282" s="251"/>
    </row>
    <row r="283" spans="1:20" s="252" customFormat="1" ht="75" x14ac:dyDescent="0.3">
      <c r="A283" s="244">
        <f t="shared" si="62"/>
        <v>24</v>
      </c>
      <c r="B283" s="206" t="s">
        <v>222</v>
      </c>
      <c r="C283" s="199"/>
      <c r="D283" s="199"/>
      <c r="E283" s="200" t="s">
        <v>74</v>
      </c>
      <c r="F283" s="247"/>
      <c r="G283" s="247"/>
      <c r="H283" s="247"/>
      <c r="I283" s="247"/>
      <c r="J283" s="247"/>
      <c r="K283" s="247"/>
      <c r="L283" s="249" t="s">
        <v>21</v>
      </c>
      <c r="M283" s="253">
        <v>800</v>
      </c>
      <c r="N283" s="249" t="s">
        <v>21</v>
      </c>
      <c r="O283" s="250"/>
      <c r="P283" s="249" t="s">
        <v>21</v>
      </c>
      <c r="Q283" s="250"/>
      <c r="R283" s="102">
        <f t="shared" si="61"/>
        <v>800</v>
      </c>
      <c r="S283" s="249" t="s">
        <v>21</v>
      </c>
      <c r="T283" s="251"/>
    </row>
    <row r="284" spans="1:20" s="252" customFormat="1" ht="56.25" x14ac:dyDescent="0.3">
      <c r="A284" s="244">
        <f t="shared" si="62"/>
        <v>25</v>
      </c>
      <c r="B284" s="206" t="s">
        <v>241</v>
      </c>
      <c r="C284" s="257"/>
      <c r="D284" s="257"/>
      <c r="E284" s="200" t="s">
        <v>131</v>
      </c>
      <c r="F284" s="247"/>
      <c r="G284" s="247"/>
      <c r="H284" s="247"/>
      <c r="I284" s="247"/>
      <c r="J284" s="247"/>
      <c r="K284" s="247"/>
      <c r="L284" s="249" t="s">
        <v>21</v>
      </c>
      <c r="M284" s="253"/>
      <c r="N284" s="249" t="s">
        <v>21</v>
      </c>
      <c r="O284" s="249">
        <v>560</v>
      </c>
      <c r="P284" s="249" t="s">
        <v>21</v>
      </c>
      <c r="Q284" s="250"/>
      <c r="R284" s="102">
        <f t="shared" si="61"/>
        <v>560</v>
      </c>
      <c r="S284" s="249" t="s">
        <v>21</v>
      </c>
      <c r="T284" s="251"/>
    </row>
    <row r="285" spans="1:20" s="252" customFormat="1" ht="56.25" x14ac:dyDescent="0.3">
      <c r="A285" s="244">
        <f t="shared" si="62"/>
        <v>26</v>
      </c>
      <c r="B285" s="258" t="s">
        <v>242</v>
      </c>
      <c r="C285" s="259"/>
      <c r="D285" s="259"/>
      <c r="E285" s="260" t="s">
        <v>89</v>
      </c>
      <c r="F285" s="247"/>
      <c r="G285" s="247"/>
      <c r="H285" s="247"/>
      <c r="I285" s="247"/>
      <c r="J285" s="247"/>
      <c r="K285" s="247"/>
      <c r="L285" s="249" t="s">
        <v>21</v>
      </c>
      <c r="M285" s="249">
        <v>550</v>
      </c>
      <c r="N285" s="249" t="s">
        <v>21</v>
      </c>
      <c r="O285" s="250"/>
      <c r="P285" s="249" t="s">
        <v>21</v>
      </c>
      <c r="Q285" s="250"/>
      <c r="R285" s="102">
        <f t="shared" si="61"/>
        <v>550</v>
      </c>
      <c r="S285" s="249" t="s">
        <v>21</v>
      </c>
      <c r="T285" s="251"/>
    </row>
    <row r="286" spans="1:20" s="38" customFormat="1" ht="53.25" customHeight="1" x14ac:dyDescent="0.25">
      <c r="A286" s="31"/>
      <c r="B286" s="32" t="s">
        <v>41</v>
      </c>
      <c r="C286" s="33"/>
      <c r="D286" s="33"/>
      <c r="E286" s="33"/>
      <c r="F286" s="33"/>
      <c r="G286" s="33"/>
      <c r="H286" s="33"/>
      <c r="I286" s="33"/>
      <c r="J286" s="33"/>
      <c r="K286" s="33"/>
      <c r="L286" s="131">
        <f>SUM(L287:L338)</f>
        <v>1331.2</v>
      </c>
      <c r="M286" s="131">
        <f>SUM(M287:M338)</f>
        <v>434345.25282365596</v>
      </c>
      <c r="N286" s="313">
        <f t="shared" ref="N286:Q286" si="63">SUM(N287:N338)</f>
        <v>297.3</v>
      </c>
      <c r="O286" s="131">
        <f t="shared" si="63"/>
        <v>131500</v>
      </c>
      <c r="P286" s="313">
        <f t="shared" si="63"/>
        <v>255.5</v>
      </c>
      <c r="Q286" s="131">
        <f t="shared" si="63"/>
        <v>126700</v>
      </c>
      <c r="R286" s="131">
        <f>SUM(R287:R338)</f>
        <v>692545.25282365608</v>
      </c>
      <c r="S286" s="131"/>
      <c r="T286" s="208"/>
    </row>
    <row r="287" spans="1:20" s="252" customFormat="1" ht="60.75" customHeight="1" x14ac:dyDescent="0.3">
      <c r="A287" s="174">
        <v>1</v>
      </c>
      <c r="B287" s="261" t="s">
        <v>243</v>
      </c>
      <c r="C287" s="199"/>
      <c r="D287" s="199"/>
      <c r="E287" s="257" t="s">
        <v>244</v>
      </c>
      <c r="F287" s="199">
        <v>4</v>
      </c>
      <c r="G287" s="199"/>
      <c r="H287" s="209"/>
      <c r="I287" s="174">
        <v>1</v>
      </c>
      <c r="J287" s="209">
        <v>8</v>
      </c>
      <c r="K287" s="210">
        <v>2021</v>
      </c>
      <c r="L287" s="212">
        <v>14</v>
      </c>
      <c r="M287" s="216">
        <v>7388.826</v>
      </c>
      <c r="N287" s="314"/>
      <c r="O287" s="213"/>
      <c r="P287" s="220"/>
      <c r="Q287" s="213"/>
      <c r="R287" s="213">
        <f t="shared" ref="R287:R338" si="64">M287+O287+Q287</f>
        <v>7388.826</v>
      </c>
      <c r="S287" s="213">
        <f>R287/L287</f>
        <v>527.77328571428575</v>
      </c>
      <c r="T287" s="214"/>
    </row>
    <row r="288" spans="1:20" s="252" customFormat="1" ht="63.75" customHeight="1" x14ac:dyDescent="0.3">
      <c r="A288" s="174">
        <v>2</v>
      </c>
      <c r="B288" s="261" t="s">
        <v>245</v>
      </c>
      <c r="C288" s="199"/>
      <c r="D288" s="199"/>
      <c r="E288" s="257" t="s">
        <v>246</v>
      </c>
      <c r="F288" s="199">
        <v>4</v>
      </c>
      <c r="G288" s="199"/>
      <c r="H288" s="209"/>
      <c r="I288" s="174">
        <v>1</v>
      </c>
      <c r="J288" s="209">
        <v>8</v>
      </c>
      <c r="K288" s="210">
        <v>2021</v>
      </c>
      <c r="L288" s="212">
        <v>12</v>
      </c>
      <c r="M288" s="216">
        <v>6468.8010000000004</v>
      </c>
      <c r="N288" s="314"/>
      <c r="O288" s="213"/>
      <c r="P288" s="220"/>
      <c r="Q288" s="213"/>
      <c r="R288" s="213">
        <f t="shared" si="64"/>
        <v>6468.8010000000004</v>
      </c>
      <c r="S288" s="213">
        <f t="shared" ref="S288:S338" si="65">R288/L288</f>
        <v>539.06675000000007</v>
      </c>
      <c r="T288" s="214"/>
    </row>
    <row r="289" spans="1:20" s="140" customFormat="1" ht="65.25" customHeight="1" x14ac:dyDescent="0.3">
      <c r="A289" s="174">
        <v>3</v>
      </c>
      <c r="B289" s="261" t="s">
        <v>247</v>
      </c>
      <c r="C289" s="199"/>
      <c r="D289" s="199"/>
      <c r="E289" s="257" t="s">
        <v>248</v>
      </c>
      <c r="F289" s="199">
        <v>4</v>
      </c>
      <c r="G289" s="199"/>
      <c r="H289" s="209"/>
      <c r="I289" s="174">
        <v>1</v>
      </c>
      <c r="J289" s="209">
        <v>8</v>
      </c>
      <c r="K289" s="210">
        <v>2021</v>
      </c>
      <c r="L289" s="212">
        <v>16</v>
      </c>
      <c r="M289" s="216">
        <v>7237.9369999999999</v>
      </c>
      <c r="N289" s="314"/>
      <c r="O289" s="213"/>
      <c r="P289" s="220"/>
      <c r="Q289" s="213"/>
      <c r="R289" s="213">
        <f t="shared" si="64"/>
        <v>7237.9369999999999</v>
      </c>
      <c r="S289" s="213">
        <f t="shared" si="65"/>
        <v>452.37106249999999</v>
      </c>
      <c r="T289" s="214"/>
    </row>
    <row r="290" spans="1:20" s="262" customFormat="1" ht="63.6" customHeight="1" x14ac:dyDescent="0.3">
      <c r="A290" s="174">
        <v>4</v>
      </c>
      <c r="B290" s="261" t="s">
        <v>249</v>
      </c>
      <c r="C290" s="199"/>
      <c r="D290" s="199"/>
      <c r="E290" s="257" t="s">
        <v>250</v>
      </c>
      <c r="F290" s="199">
        <v>4</v>
      </c>
      <c r="G290" s="199"/>
      <c r="H290" s="209"/>
      <c r="I290" s="174">
        <v>1</v>
      </c>
      <c r="J290" s="209">
        <v>8</v>
      </c>
      <c r="K290" s="210">
        <v>2021</v>
      </c>
      <c r="L290" s="212">
        <v>36</v>
      </c>
      <c r="M290" s="211">
        <v>26000</v>
      </c>
      <c r="N290" s="314"/>
      <c r="O290" s="213"/>
      <c r="P290" s="220"/>
      <c r="Q290" s="213"/>
      <c r="R290" s="213">
        <f t="shared" si="64"/>
        <v>26000</v>
      </c>
      <c r="S290" s="213">
        <f t="shared" si="65"/>
        <v>722.22222222222217</v>
      </c>
      <c r="T290" s="214"/>
    </row>
    <row r="291" spans="1:20" s="140" customFormat="1" ht="54.6" customHeight="1" x14ac:dyDescent="0.3">
      <c r="A291" s="174">
        <v>5</v>
      </c>
      <c r="B291" s="261" t="s">
        <v>251</v>
      </c>
      <c r="C291" s="199"/>
      <c r="D291" s="199"/>
      <c r="E291" s="257" t="s">
        <v>252</v>
      </c>
      <c r="F291" s="199">
        <v>4</v>
      </c>
      <c r="G291" s="199"/>
      <c r="H291" s="209"/>
      <c r="I291" s="174">
        <v>1</v>
      </c>
      <c r="J291" s="209">
        <v>8</v>
      </c>
      <c r="K291" s="210">
        <v>2021</v>
      </c>
      <c r="L291" s="212">
        <v>27</v>
      </c>
      <c r="M291" s="263">
        <v>18166.73</v>
      </c>
      <c r="N291" s="314"/>
      <c r="O291" s="213"/>
      <c r="P291" s="220"/>
      <c r="Q291" s="213"/>
      <c r="R291" s="213">
        <f t="shared" si="64"/>
        <v>18166.73</v>
      </c>
      <c r="S291" s="213">
        <f t="shared" si="65"/>
        <v>672.84185185185186</v>
      </c>
      <c r="T291" s="214"/>
    </row>
    <row r="292" spans="1:20" s="264" customFormat="1" ht="58.9" customHeight="1" x14ac:dyDescent="0.3">
      <c r="A292" s="174">
        <v>6</v>
      </c>
      <c r="B292" s="261" t="s">
        <v>253</v>
      </c>
      <c r="C292" s="199"/>
      <c r="D292" s="199"/>
      <c r="E292" s="257" t="s">
        <v>254</v>
      </c>
      <c r="F292" s="199">
        <v>4</v>
      </c>
      <c r="G292" s="199"/>
      <c r="H292" s="209"/>
      <c r="I292" s="174">
        <v>1</v>
      </c>
      <c r="J292" s="209">
        <v>8</v>
      </c>
      <c r="K292" s="210">
        <v>2021</v>
      </c>
      <c r="L292" s="212">
        <v>6.3</v>
      </c>
      <c r="M292" s="211">
        <v>4696.8599999999997</v>
      </c>
      <c r="N292" s="314"/>
      <c r="O292" s="213"/>
      <c r="P292" s="220"/>
      <c r="Q292" s="213"/>
      <c r="R292" s="213">
        <f t="shared" si="64"/>
        <v>4696.8599999999997</v>
      </c>
      <c r="S292" s="213">
        <f t="shared" si="65"/>
        <v>745.5333333333333</v>
      </c>
      <c r="T292" s="214"/>
    </row>
    <row r="293" spans="1:20" s="265" customFormat="1" ht="62.25" customHeight="1" x14ac:dyDescent="0.3">
      <c r="A293" s="174">
        <v>7</v>
      </c>
      <c r="B293" s="261" t="s">
        <v>255</v>
      </c>
      <c r="C293" s="199"/>
      <c r="D293" s="199"/>
      <c r="E293" s="257" t="s">
        <v>256</v>
      </c>
      <c r="F293" s="199">
        <v>4</v>
      </c>
      <c r="G293" s="199"/>
      <c r="H293" s="209"/>
      <c r="I293" s="174">
        <v>1</v>
      </c>
      <c r="J293" s="209">
        <v>8</v>
      </c>
      <c r="K293" s="210">
        <v>2021</v>
      </c>
      <c r="L293" s="212">
        <v>38.6</v>
      </c>
      <c r="M293" s="211">
        <v>20283.66</v>
      </c>
      <c r="N293" s="314"/>
      <c r="O293" s="213"/>
      <c r="P293" s="220"/>
      <c r="Q293" s="213"/>
      <c r="R293" s="213">
        <f t="shared" si="64"/>
        <v>20283.66</v>
      </c>
      <c r="S293" s="213">
        <f t="shared" si="65"/>
        <v>525.48341968911916</v>
      </c>
      <c r="T293" s="214"/>
    </row>
    <row r="294" spans="1:20" s="140" customFormat="1" ht="75" x14ac:dyDescent="0.3">
      <c r="A294" s="174">
        <v>8</v>
      </c>
      <c r="B294" s="254" t="s">
        <v>257</v>
      </c>
      <c r="C294" s="199"/>
      <c r="D294" s="199"/>
      <c r="E294" s="200" t="s">
        <v>258</v>
      </c>
      <c r="F294" s="199">
        <v>4</v>
      </c>
      <c r="G294" s="199"/>
      <c r="H294" s="209"/>
      <c r="I294" s="174">
        <v>1</v>
      </c>
      <c r="J294" s="209">
        <v>8</v>
      </c>
      <c r="K294" s="210">
        <v>2021</v>
      </c>
      <c r="L294" s="212">
        <v>8</v>
      </c>
      <c r="M294" s="211">
        <f>5026.93*1.044</f>
        <v>5248.1149200000009</v>
      </c>
      <c r="N294" s="314"/>
      <c r="O294" s="213"/>
      <c r="P294" s="220"/>
      <c r="Q294" s="213"/>
      <c r="R294" s="213">
        <f t="shared" si="64"/>
        <v>5248.1149200000009</v>
      </c>
      <c r="S294" s="213">
        <f t="shared" si="65"/>
        <v>656.01436500000011</v>
      </c>
      <c r="T294" s="214"/>
    </row>
    <row r="295" spans="1:20" s="266" customFormat="1" ht="75" x14ac:dyDescent="0.3">
      <c r="A295" s="174">
        <v>9</v>
      </c>
      <c r="B295" s="254" t="s">
        <v>259</v>
      </c>
      <c r="C295" s="199"/>
      <c r="D295" s="199"/>
      <c r="E295" s="200" t="s">
        <v>260</v>
      </c>
      <c r="F295" s="199">
        <v>4</v>
      </c>
      <c r="G295" s="199"/>
      <c r="H295" s="209"/>
      <c r="I295" s="174">
        <v>1</v>
      </c>
      <c r="J295" s="209">
        <v>8</v>
      </c>
      <c r="K295" s="210">
        <v>2021</v>
      </c>
      <c r="L295" s="212">
        <v>15</v>
      </c>
      <c r="M295" s="211">
        <v>10000</v>
      </c>
      <c r="N295" s="314"/>
      <c r="O295" s="213"/>
      <c r="P295" s="220"/>
      <c r="Q295" s="213"/>
      <c r="R295" s="213">
        <f t="shared" si="64"/>
        <v>10000</v>
      </c>
      <c r="S295" s="213">
        <f t="shared" si="65"/>
        <v>666.66666666666663</v>
      </c>
      <c r="T295" s="214"/>
    </row>
    <row r="296" spans="1:20" s="266" customFormat="1" ht="56.25" x14ac:dyDescent="0.3">
      <c r="A296" s="174">
        <v>10</v>
      </c>
      <c r="B296" s="254" t="s">
        <v>229</v>
      </c>
      <c r="C296" s="199"/>
      <c r="D296" s="199"/>
      <c r="E296" s="200" t="s">
        <v>89</v>
      </c>
      <c r="F296" s="199">
        <v>4</v>
      </c>
      <c r="G296" s="199"/>
      <c r="H296" s="209"/>
      <c r="I296" s="174">
        <v>1</v>
      </c>
      <c r="J296" s="209">
        <v>8</v>
      </c>
      <c r="K296" s="210">
        <v>2021</v>
      </c>
      <c r="L296" s="212">
        <v>26.9</v>
      </c>
      <c r="M296" s="211">
        <v>17700</v>
      </c>
      <c r="N296" s="314"/>
      <c r="O296" s="213"/>
      <c r="P296" s="220"/>
      <c r="Q296" s="213"/>
      <c r="R296" s="213">
        <f t="shared" si="64"/>
        <v>17700</v>
      </c>
      <c r="S296" s="213">
        <f t="shared" si="65"/>
        <v>657.99256505576216</v>
      </c>
      <c r="T296" s="214"/>
    </row>
    <row r="297" spans="1:20" s="266" customFormat="1" ht="56.25" x14ac:dyDescent="0.3">
      <c r="A297" s="174">
        <v>11</v>
      </c>
      <c r="B297" s="255" t="s">
        <v>261</v>
      </c>
      <c r="C297" s="199"/>
      <c r="D297" s="199"/>
      <c r="E297" s="200" t="s">
        <v>262</v>
      </c>
      <c r="F297" s="199">
        <v>5</v>
      </c>
      <c r="G297" s="199"/>
      <c r="H297" s="209"/>
      <c r="I297" s="174">
        <v>1</v>
      </c>
      <c r="J297" s="209">
        <v>8</v>
      </c>
      <c r="K297" s="210">
        <v>2021</v>
      </c>
      <c r="L297" s="212">
        <v>6.1</v>
      </c>
      <c r="M297" s="211">
        <f>5591.02*1.044</f>
        <v>5837.0248800000008</v>
      </c>
      <c r="N297" s="314"/>
      <c r="O297" s="213"/>
      <c r="P297" s="220"/>
      <c r="Q297" s="213"/>
      <c r="R297" s="213">
        <f t="shared" si="64"/>
        <v>5837.0248800000008</v>
      </c>
      <c r="S297" s="213">
        <f t="shared" si="65"/>
        <v>956.88932459016416</v>
      </c>
      <c r="T297" s="214"/>
    </row>
    <row r="298" spans="1:20" s="267" customFormat="1" ht="56.25" x14ac:dyDescent="0.3">
      <c r="A298" s="174">
        <v>12</v>
      </c>
      <c r="B298" s="255" t="s">
        <v>230</v>
      </c>
      <c r="C298" s="199"/>
      <c r="D298" s="199"/>
      <c r="E298" s="200" t="s">
        <v>39</v>
      </c>
      <c r="F298" s="199">
        <v>5</v>
      </c>
      <c r="G298" s="199"/>
      <c r="H298" s="209"/>
      <c r="I298" s="174">
        <v>1</v>
      </c>
      <c r="J298" s="209">
        <v>8</v>
      </c>
      <c r="K298" s="210">
        <v>2021</v>
      </c>
      <c r="L298" s="212">
        <v>25</v>
      </c>
      <c r="M298" s="211">
        <v>15000</v>
      </c>
      <c r="N298" s="314"/>
      <c r="O298" s="213"/>
      <c r="P298" s="220"/>
      <c r="Q298" s="213"/>
      <c r="R298" s="213">
        <f t="shared" si="64"/>
        <v>15000</v>
      </c>
      <c r="S298" s="213">
        <f t="shared" si="65"/>
        <v>600</v>
      </c>
      <c r="T298" s="214"/>
    </row>
    <row r="299" spans="1:20" s="267" customFormat="1" ht="56.25" x14ac:dyDescent="0.3">
      <c r="A299" s="174">
        <v>13</v>
      </c>
      <c r="B299" s="255" t="s">
        <v>263</v>
      </c>
      <c r="C299" s="199"/>
      <c r="D299" s="199"/>
      <c r="E299" s="200" t="s">
        <v>264</v>
      </c>
      <c r="F299" s="199">
        <v>5</v>
      </c>
      <c r="G299" s="199"/>
      <c r="H299" s="209"/>
      <c r="I299" s="174">
        <v>1</v>
      </c>
      <c r="J299" s="209">
        <v>8</v>
      </c>
      <c r="K299" s="210">
        <v>2021</v>
      </c>
      <c r="L299" s="212">
        <v>4.3</v>
      </c>
      <c r="M299" s="211">
        <v>3000</v>
      </c>
      <c r="N299" s="314"/>
      <c r="O299" s="213"/>
      <c r="P299" s="220"/>
      <c r="Q299" s="213"/>
      <c r="R299" s="213">
        <f t="shared" si="64"/>
        <v>3000</v>
      </c>
      <c r="S299" s="213">
        <f t="shared" si="65"/>
        <v>697.67441860465124</v>
      </c>
      <c r="T299" s="214"/>
    </row>
    <row r="300" spans="1:20" s="267" customFormat="1" ht="75" x14ac:dyDescent="0.3">
      <c r="A300" s="174">
        <v>14</v>
      </c>
      <c r="B300" s="255" t="s">
        <v>265</v>
      </c>
      <c r="C300" s="199"/>
      <c r="D300" s="199"/>
      <c r="E300" s="200" t="s">
        <v>266</v>
      </c>
      <c r="F300" s="199">
        <v>5</v>
      </c>
      <c r="G300" s="199"/>
      <c r="H300" s="209"/>
      <c r="I300" s="174">
        <v>1</v>
      </c>
      <c r="J300" s="209">
        <v>8</v>
      </c>
      <c r="K300" s="210">
        <v>2021</v>
      </c>
      <c r="L300" s="212">
        <v>7.5</v>
      </c>
      <c r="M300" s="211">
        <v>4000</v>
      </c>
      <c r="N300" s="314"/>
      <c r="O300" s="213"/>
      <c r="P300" s="220"/>
      <c r="Q300" s="213"/>
      <c r="R300" s="213">
        <f t="shared" si="64"/>
        <v>4000</v>
      </c>
      <c r="S300" s="213">
        <f t="shared" si="65"/>
        <v>533.33333333333337</v>
      </c>
      <c r="T300" s="214"/>
    </row>
    <row r="301" spans="1:20" s="267" customFormat="1" ht="56.25" x14ac:dyDescent="0.3">
      <c r="A301" s="174">
        <v>15</v>
      </c>
      <c r="B301" s="255" t="s">
        <v>231</v>
      </c>
      <c r="C301" s="199"/>
      <c r="D301" s="199"/>
      <c r="E301" s="200" t="s">
        <v>39</v>
      </c>
      <c r="F301" s="199">
        <v>5</v>
      </c>
      <c r="G301" s="199"/>
      <c r="H301" s="209"/>
      <c r="I301" s="174">
        <v>1</v>
      </c>
      <c r="J301" s="209">
        <v>8</v>
      </c>
      <c r="K301" s="210">
        <v>2021</v>
      </c>
      <c r="L301" s="212">
        <v>6.9</v>
      </c>
      <c r="M301" s="211">
        <v>4000</v>
      </c>
      <c r="N301" s="314"/>
      <c r="O301" s="213"/>
      <c r="P301" s="220"/>
      <c r="Q301" s="213"/>
      <c r="R301" s="213">
        <f t="shared" si="64"/>
        <v>4000</v>
      </c>
      <c r="S301" s="213">
        <f t="shared" si="65"/>
        <v>579.71014492753625</v>
      </c>
      <c r="T301" s="214"/>
    </row>
    <row r="302" spans="1:20" s="267" customFormat="1" ht="75" x14ac:dyDescent="0.3">
      <c r="A302" s="174">
        <v>16</v>
      </c>
      <c r="B302" s="255" t="s">
        <v>232</v>
      </c>
      <c r="C302" s="199"/>
      <c r="D302" s="199"/>
      <c r="E302" s="248" t="s">
        <v>89</v>
      </c>
      <c r="F302" s="199">
        <v>5</v>
      </c>
      <c r="G302" s="199"/>
      <c r="H302" s="209"/>
      <c r="I302" s="174">
        <v>1</v>
      </c>
      <c r="J302" s="209">
        <v>8</v>
      </c>
      <c r="K302" s="210">
        <v>2021</v>
      </c>
      <c r="L302" s="212">
        <v>51.1</v>
      </c>
      <c r="M302" s="211">
        <f>4000/7.5*51.1</f>
        <v>27253.333333333336</v>
      </c>
      <c r="N302" s="314"/>
      <c r="O302" s="213"/>
      <c r="P302" s="220"/>
      <c r="Q302" s="213"/>
      <c r="R302" s="213">
        <f t="shared" si="64"/>
        <v>27253.333333333336</v>
      </c>
      <c r="S302" s="213">
        <f t="shared" si="65"/>
        <v>533.33333333333337</v>
      </c>
      <c r="T302" s="214"/>
    </row>
    <row r="303" spans="1:20" s="267" customFormat="1" ht="56.25" x14ac:dyDescent="0.3">
      <c r="A303" s="174">
        <v>17</v>
      </c>
      <c r="B303" s="255" t="s">
        <v>236</v>
      </c>
      <c r="C303" s="199"/>
      <c r="D303" s="199"/>
      <c r="E303" s="200" t="s">
        <v>39</v>
      </c>
      <c r="F303" s="199">
        <v>5</v>
      </c>
      <c r="G303" s="199"/>
      <c r="H303" s="209"/>
      <c r="I303" s="174">
        <v>1</v>
      </c>
      <c r="J303" s="209">
        <v>8</v>
      </c>
      <c r="K303" s="210">
        <v>2021</v>
      </c>
      <c r="L303" s="212">
        <v>8.6999999999999993</v>
      </c>
      <c r="M303" s="211">
        <v>5000</v>
      </c>
      <c r="N303" s="314"/>
      <c r="O303" s="213"/>
      <c r="P303" s="220"/>
      <c r="Q303" s="213"/>
      <c r="R303" s="213">
        <f t="shared" si="64"/>
        <v>5000</v>
      </c>
      <c r="S303" s="213">
        <f t="shared" si="65"/>
        <v>574.71264367816093</v>
      </c>
      <c r="T303" s="214"/>
    </row>
    <row r="304" spans="1:20" s="267" customFormat="1" ht="56.25" x14ac:dyDescent="0.3">
      <c r="A304" s="174">
        <v>18</v>
      </c>
      <c r="B304" s="255" t="s">
        <v>233</v>
      </c>
      <c r="C304" s="199"/>
      <c r="D304" s="199"/>
      <c r="E304" s="200" t="s">
        <v>39</v>
      </c>
      <c r="F304" s="199">
        <v>5</v>
      </c>
      <c r="G304" s="199"/>
      <c r="H304" s="209"/>
      <c r="I304" s="174">
        <v>1</v>
      </c>
      <c r="J304" s="209">
        <v>8</v>
      </c>
      <c r="K304" s="210">
        <v>2021</v>
      </c>
      <c r="L304" s="212">
        <v>8</v>
      </c>
      <c r="M304" s="211">
        <v>5000</v>
      </c>
      <c r="N304" s="314"/>
      <c r="O304" s="213"/>
      <c r="P304" s="220"/>
      <c r="Q304" s="213"/>
      <c r="R304" s="213">
        <f t="shared" si="64"/>
        <v>5000</v>
      </c>
      <c r="S304" s="213">
        <f t="shared" si="65"/>
        <v>625</v>
      </c>
      <c r="T304" s="214"/>
    </row>
    <row r="305" spans="1:20" s="267" customFormat="1" ht="66.75" customHeight="1" x14ac:dyDescent="0.3">
      <c r="A305" s="174">
        <v>19</v>
      </c>
      <c r="B305" s="255" t="s">
        <v>267</v>
      </c>
      <c r="C305" s="199"/>
      <c r="D305" s="199"/>
      <c r="E305" s="200" t="s">
        <v>135</v>
      </c>
      <c r="F305" s="199">
        <v>5</v>
      </c>
      <c r="G305" s="199"/>
      <c r="H305" s="209"/>
      <c r="I305" s="174">
        <v>1</v>
      </c>
      <c r="J305" s="209">
        <v>8</v>
      </c>
      <c r="K305" s="210">
        <v>2022</v>
      </c>
      <c r="L305" s="310"/>
      <c r="M305" s="216"/>
      <c r="N305" s="315">
        <v>12.5</v>
      </c>
      <c r="O305" s="211">
        <v>5500</v>
      </c>
      <c r="P305" s="220"/>
      <c r="Q305" s="213"/>
      <c r="R305" s="213">
        <f t="shared" si="64"/>
        <v>5500</v>
      </c>
      <c r="S305" s="213">
        <f>R305/N305</f>
        <v>440</v>
      </c>
      <c r="T305" s="214"/>
    </row>
    <row r="306" spans="1:20" s="267" customFormat="1" ht="75.75" customHeight="1" x14ac:dyDescent="0.3">
      <c r="A306" s="174">
        <v>20</v>
      </c>
      <c r="B306" s="201" t="s">
        <v>268</v>
      </c>
      <c r="C306" s="199"/>
      <c r="D306" s="199"/>
      <c r="E306" s="200" t="s">
        <v>135</v>
      </c>
      <c r="F306" s="199">
        <v>5</v>
      </c>
      <c r="G306" s="199"/>
      <c r="H306" s="209"/>
      <c r="I306" s="174">
        <v>1</v>
      </c>
      <c r="J306" s="209">
        <v>8</v>
      </c>
      <c r="K306" s="210">
        <v>2022</v>
      </c>
      <c r="L306" s="310"/>
      <c r="M306" s="216"/>
      <c r="N306" s="316">
        <v>18</v>
      </c>
      <c r="O306" s="211">
        <v>10000</v>
      </c>
      <c r="P306" s="220"/>
      <c r="Q306" s="213"/>
      <c r="R306" s="213">
        <f t="shared" si="64"/>
        <v>10000</v>
      </c>
      <c r="S306" s="213">
        <f>R306/N306</f>
        <v>555.55555555555554</v>
      </c>
      <c r="T306" s="214"/>
    </row>
    <row r="307" spans="1:20" s="267" customFormat="1" ht="77.25" customHeight="1" x14ac:dyDescent="0.3">
      <c r="A307" s="174">
        <v>21</v>
      </c>
      <c r="B307" s="201" t="s">
        <v>234</v>
      </c>
      <c r="C307" s="199"/>
      <c r="D307" s="199"/>
      <c r="E307" s="200" t="s">
        <v>39</v>
      </c>
      <c r="F307" s="199">
        <v>5</v>
      </c>
      <c r="G307" s="199"/>
      <c r="H307" s="209"/>
      <c r="I307" s="174">
        <v>1</v>
      </c>
      <c r="J307" s="209">
        <v>8</v>
      </c>
      <c r="K307" s="210">
        <v>2021</v>
      </c>
      <c r="L307" s="311">
        <v>37</v>
      </c>
      <c r="M307" s="211">
        <v>20000</v>
      </c>
      <c r="N307" s="314"/>
      <c r="O307" s="213"/>
      <c r="P307" s="220"/>
      <c r="Q307" s="213"/>
      <c r="R307" s="213">
        <f t="shared" si="64"/>
        <v>20000</v>
      </c>
      <c r="S307" s="213">
        <f t="shared" si="65"/>
        <v>540.54054054054052</v>
      </c>
      <c r="T307" s="214"/>
    </row>
    <row r="308" spans="1:20" s="267" customFormat="1" ht="93.75" x14ac:dyDescent="0.3">
      <c r="A308" s="174">
        <v>22</v>
      </c>
      <c r="B308" s="255" t="s">
        <v>235</v>
      </c>
      <c r="C308" s="199"/>
      <c r="D308" s="199"/>
      <c r="E308" s="200" t="s">
        <v>101</v>
      </c>
      <c r="F308" s="199">
        <v>5</v>
      </c>
      <c r="G308" s="199"/>
      <c r="H308" s="209"/>
      <c r="I308" s="174">
        <v>1</v>
      </c>
      <c r="J308" s="209">
        <v>8</v>
      </c>
      <c r="K308" s="210">
        <v>2022</v>
      </c>
      <c r="L308" s="310"/>
      <c r="M308" s="216"/>
      <c r="N308" s="316">
        <v>27</v>
      </c>
      <c r="O308" s="211">
        <v>17000</v>
      </c>
      <c r="P308" s="220"/>
      <c r="Q308" s="213"/>
      <c r="R308" s="213">
        <f t="shared" si="64"/>
        <v>17000</v>
      </c>
      <c r="S308" s="213">
        <f>R308/N308</f>
        <v>629.62962962962968</v>
      </c>
      <c r="T308" s="214"/>
    </row>
    <row r="309" spans="1:20" s="267" customFormat="1" ht="93.75" x14ac:dyDescent="0.3">
      <c r="A309" s="174">
        <v>23</v>
      </c>
      <c r="B309" s="255" t="s">
        <v>269</v>
      </c>
      <c r="C309" s="199"/>
      <c r="D309" s="199"/>
      <c r="E309" s="200" t="s">
        <v>135</v>
      </c>
      <c r="F309" s="199">
        <v>5</v>
      </c>
      <c r="G309" s="199"/>
      <c r="H309" s="209"/>
      <c r="I309" s="174">
        <v>1</v>
      </c>
      <c r="J309" s="209">
        <v>8</v>
      </c>
      <c r="K309" s="210">
        <v>2022</v>
      </c>
      <c r="L309" s="310"/>
      <c r="M309" s="216"/>
      <c r="N309" s="316">
        <v>43.5</v>
      </c>
      <c r="O309" s="211">
        <v>25000</v>
      </c>
      <c r="P309" s="220"/>
      <c r="Q309" s="213"/>
      <c r="R309" s="213">
        <f t="shared" si="64"/>
        <v>25000</v>
      </c>
      <c r="S309" s="213">
        <f>R309/N309</f>
        <v>574.71264367816093</v>
      </c>
      <c r="T309" s="214"/>
    </row>
    <row r="310" spans="1:20" s="267" customFormat="1" ht="75" x14ac:dyDescent="0.3">
      <c r="A310" s="174">
        <v>24</v>
      </c>
      <c r="B310" s="255" t="s">
        <v>270</v>
      </c>
      <c r="C310" s="199"/>
      <c r="D310" s="199"/>
      <c r="E310" s="200" t="s">
        <v>271</v>
      </c>
      <c r="F310" s="199">
        <v>5</v>
      </c>
      <c r="G310" s="199"/>
      <c r="H310" s="209"/>
      <c r="I310" s="174">
        <v>1</v>
      </c>
      <c r="J310" s="209">
        <v>8</v>
      </c>
      <c r="K310" s="210">
        <v>2021</v>
      </c>
      <c r="L310" s="212">
        <v>8.3000000000000007</v>
      </c>
      <c r="M310" s="268">
        <f>4160.54*1.044</f>
        <v>4343.60376</v>
      </c>
      <c r="N310" s="314"/>
      <c r="O310" s="213"/>
      <c r="P310" s="220"/>
      <c r="Q310" s="213"/>
      <c r="R310" s="213">
        <f t="shared" si="64"/>
        <v>4343.60376</v>
      </c>
      <c r="S310" s="213">
        <f t="shared" si="65"/>
        <v>523.32575421686738</v>
      </c>
      <c r="T310" s="214"/>
    </row>
    <row r="311" spans="1:20" s="267" customFormat="1" ht="80.25" customHeight="1" x14ac:dyDescent="0.3">
      <c r="A311" s="174">
        <v>25</v>
      </c>
      <c r="B311" s="255" t="s">
        <v>272</v>
      </c>
      <c r="C311" s="199"/>
      <c r="D311" s="199"/>
      <c r="E311" s="200" t="s">
        <v>273</v>
      </c>
      <c r="F311" s="199">
        <v>5</v>
      </c>
      <c r="G311" s="199"/>
      <c r="H311" s="209"/>
      <c r="I311" s="174">
        <v>1</v>
      </c>
      <c r="J311" s="209">
        <v>8</v>
      </c>
      <c r="K311" s="210">
        <v>2021</v>
      </c>
      <c r="L311" s="212">
        <v>22.8</v>
      </c>
      <c r="M311" s="268">
        <f>8214.87*1.044</f>
        <v>8576.3242800000007</v>
      </c>
      <c r="N311" s="314"/>
      <c r="O311" s="213"/>
      <c r="P311" s="220"/>
      <c r="Q311" s="213"/>
      <c r="R311" s="213">
        <f t="shared" si="64"/>
        <v>8576.3242800000007</v>
      </c>
      <c r="S311" s="213">
        <f t="shared" si="65"/>
        <v>376.15457368421056</v>
      </c>
      <c r="T311" s="214"/>
    </row>
    <row r="312" spans="1:20" s="267" customFormat="1" ht="75" x14ac:dyDescent="0.3">
      <c r="A312" s="174">
        <v>26</v>
      </c>
      <c r="B312" s="255" t="s">
        <v>274</v>
      </c>
      <c r="C312" s="199"/>
      <c r="D312" s="199"/>
      <c r="E312" s="200" t="s">
        <v>275</v>
      </c>
      <c r="F312" s="199">
        <v>5</v>
      </c>
      <c r="G312" s="199"/>
      <c r="H312" s="209"/>
      <c r="I312" s="174">
        <v>1</v>
      </c>
      <c r="J312" s="209">
        <v>8</v>
      </c>
      <c r="K312" s="210">
        <v>2021</v>
      </c>
      <c r="L312" s="212">
        <v>9.1</v>
      </c>
      <c r="M312" s="268">
        <f>3922.97*1.044</f>
        <v>4095.58068</v>
      </c>
      <c r="N312" s="314"/>
      <c r="O312" s="213"/>
      <c r="P312" s="220"/>
      <c r="Q312" s="213"/>
      <c r="R312" s="213">
        <f t="shared" si="64"/>
        <v>4095.58068</v>
      </c>
      <c r="S312" s="213">
        <f t="shared" si="65"/>
        <v>450.06381098901102</v>
      </c>
      <c r="T312" s="214"/>
    </row>
    <row r="313" spans="1:20" s="267" customFormat="1" ht="75" x14ac:dyDescent="0.3">
      <c r="A313" s="174">
        <v>27</v>
      </c>
      <c r="B313" s="255" t="s">
        <v>276</v>
      </c>
      <c r="C313" s="199"/>
      <c r="D313" s="199"/>
      <c r="E313" s="200" t="s">
        <v>277</v>
      </c>
      <c r="F313" s="199">
        <v>5</v>
      </c>
      <c r="G313" s="199"/>
      <c r="H313" s="209"/>
      <c r="I313" s="174">
        <v>1</v>
      </c>
      <c r="J313" s="209">
        <v>8</v>
      </c>
      <c r="K313" s="210">
        <v>2021</v>
      </c>
      <c r="L313" s="212">
        <v>8.5</v>
      </c>
      <c r="M313" s="268">
        <f>3922.97*1.044</f>
        <v>4095.58068</v>
      </c>
      <c r="N313" s="314"/>
      <c r="O313" s="213"/>
      <c r="P313" s="220"/>
      <c r="Q313" s="213"/>
      <c r="R313" s="213">
        <f t="shared" si="64"/>
        <v>4095.58068</v>
      </c>
      <c r="S313" s="213">
        <f t="shared" si="65"/>
        <v>481.8330211764706</v>
      </c>
      <c r="T313" s="214"/>
    </row>
    <row r="314" spans="1:20" s="267" customFormat="1" ht="93.75" x14ac:dyDescent="0.3">
      <c r="A314" s="174">
        <v>28</v>
      </c>
      <c r="B314" s="255" t="s">
        <v>278</v>
      </c>
      <c r="C314" s="199"/>
      <c r="D314" s="199"/>
      <c r="E314" s="200" t="s">
        <v>79</v>
      </c>
      <c r="F314" s="199">
        <v>5</v>
      </c>
      <c r="G314" s="199"/>
      <c r="H314" s="209"/>
      <c r="I314" s="174">
        <v>1</v>
      </c>
      <c r="J314" s="209">
        <v>8</v>
      </c>
      <c r="K314" s="210">
        <v>2022</v>
      </c>
      <c r="L314" s="310"/>
      <c r="M314" s="216"/>
      <c r="N314" s="315">
        <v>21.3</v>
      </c>
      <c r="O314" s="268">
        <v>15000</v>
      </c>
      <c r="P314" s="220"/>
      <c r="Q314" s="213"/>
      <c r="R314" s="213">
        <f t="shared" si="64"/>
        <v>15000</v>
      </c>
      <c r="S314" s="213">
        <f>R314/N314</f>
        <v>704.22535211267598</v>
      </c>
      <c r="T314" s="214"/>
    </row>
    <row r="315" spans="1:20" s="267" customFormat="1" ht="84" customHeight="1" x14ac:dyDescent="0.3">
      <c r="A315" s="174">
        <v>29</v>
      </c>
      <c r="B315" s="255" t="s">
        <v>279</v>
      </c>
      <c r="C315" s="199"/>
      <c r="D315" s="199"/>
      <c r="E315" s="200" t="s">
        <v>79</v>
      </c>
      <c r="F315" s="199">
        <v>5</v>
      </c>
      <c r="G315" s="199"/>
      <c r="H315" s="209"/>
      <c r="I315" s="174">
        <v>1</v>
      </c>
      <c r="J315" s="209">
        <v>8</v>
      </c>
      <c r="K315" s="210">
        <v>2022</v>
      </c>
      <c r="L315" s="310"/>
      <c r="M315" s="216"/>
      <c r="N315" s="315">
        <v>33</v>
      </c>
      <c r="O315" s="268">
        <v>17000</v>
      </c>
      <c r="P315" s="220"/>
      <c r="Q315" s="213"/>
      <c r="R315" s="213">
        <f t="shared" si="64"/>
        <v>17000</v>
      </c>
      <c r="S315" s="213">
        <f t="shared" ref="S315:S316" si="66">R315/N315</f>
        <v>515.15151515151513</v>
      </c>
      <c r="T315" s="214"/>
    </row>
    <row r="316" spans="1:20" s="267" customFormat="1" ht="75" x14ac:dyDescent="0.3">
      <c r="A316" s="174">
        <v>30</v>
      </c>
      <c r="B316" s="255" t="s">
        <v>280</v>
      </c>
      <c r="C316" s="199"/>
      <c r="D316" s="199"/>
      <c r="E316" s="200" t="s">
        <v>74</v>
      </c>
      <c r="F316" s="199">
        <v>5</v>
      </c>
      <c r="G316" s="199"/>
      <c r="H316" s="209"/>
      <c r="I316" s="174">
        <v>1</v>
      </c>
      <c r="J316" s="209">
        <v>8</v>
      </c>
      <c r="K316" s="210">
        <v>2022</v>
      </c>
      <c r="L316" s="310"/>
      <c r="M316" s="216"/>
      <c r="N316" s="315">
        <v>10</v>
      </c>
      <c r="O316" s="268">
        <v>8000</v>
      </c>
      <c r="P316" s="220"/>
      <c r="Q316" s="213"/>
      <c r="R316" s="213">
        <f t="shared" si="64"/>
        <v>8000</v>
      </c>
      <c r="S316" s="213">
        <f t="shared" si="66"/>
        <v>800</v>
      </c>
      <c r="T316" s="214"/>
    </row>
    <row r="317" spans="1:20" s="267" customFormat="1" ht="56.25" x14ac:dyDescent="0.3">
      <c r="A317" s="174">
        <v>31</v>
      </c>
      <c r="B317" s="204" t="s">
        <v>281</v>
      </c>
      <c r="C317" s="199"/>
      <c r="D317" s="199"/>
      <c r="E317" s="200" t="s">
        <v>39</v>
      </c>
      <c r="F317" s="199">
        <v>4</v>
      </c>
      <c r="G317" s="199"/>
      <c r="H317" s="209"/>
      <c r="I317" s="174">
        <v>1</v>
      </c>
      <c r="J317" s="209">
        <v>8</v>
      </c>
      <c r="K317" s="210">
        <v>2021</v>
      </c>
      <c r="L317" s="311">
        <v>28.9</v>
      </c>
      <c r="M317" s="211">
        <f>4000/6.2*28.9</f>
        <v>18645.16129032258</v>
      </c>
      <c r="N317" s="314"/>
      <c r="O317" s="213"/>
      <c r="P317" s="220"/>
      <c r="Q317" s="213"/>
      <c r="R317" s="213">
        <f t="shared" si="64"/>
        <v>18645.16129032258</v>
      </c>
      <c r="S317" s="213">
        <f t="shared" si="65"/>
        <v>645.16129032258061</v>
      </c>
      <c r="T317" s="214"/>
    </row>
    <row r="318" spans="1:20" s="267" customFormat="1" ht="75" x14ac:dyDescent="0.3">
      <c r="A318" s="174">
        <v>32</v>
      </c>
      <c r="B318" s="221" t="s">
        <v>282</v>
      </c>
      <c r="C318" s="199"/>
      <c r="D318" s="199"/>
      <c r="E318" s="200" t="s">
        <v>244</v>
      </c>
      <c r="F318" s="199">
        <v>5</v>
      </c>
      <c r="G318" s="199"/>
      <c r="H318" s="209"/>
      <c r="I318" s="174">
        <v>1</v>
      </c>
      <c r="J318" s="209">
        <v>8</v>
      </c>
      <c r="K318" s="210">
        <v>2021</v>
      </c>
      <c r="L318" s="212">
        <v>6.2</v>
      </c>
      <c r="M318" s="268">
        <f>3620.29*1.044</f>
        <v>3779.5827600000002</v>
      </c>
      <c r="N318" s="314"/>
      <c r="O318" s="213"/>
      <c r="P318" s="220"/>
      <c r="Q318" s="213"/>
      <c r="R318" s="213">
        <f t="shared" si="64"/>
        <v>3779.5827600000002</v>
      </c>
      <c r="S318" s="213">
        <f t="shared" si="65"/>
        <v>609.61012258064522</v>
      </c>
      <c r="T318" s="214"/>
    </row>
    <row r="319" spans="1:20" s="267" customFormat="1" ht="93.75" x14ac:dyDescent="0.3">
      <c r="A319" s="174">
        <v>33</v>
      </c>
      <c r="B319" s="221" t="s">
        <v>283</v>
      </c>
      <c r="C319" s="199"/>
      <c r="D319" s="199"/>
      <c r="E319" s="248" t="s">
        <v>89</v>
      </c>
      <c r="F319" s="199">
        <v>5</v>
      </c>
      <c r="G319" s="199"/>
      <c r="H319" s="209"/>
      <c r="I319" s="174">
        <v>1</v>
      </c>
      <c r="J319" s="209">
        <v>8</v>
      </c>
      <c r="K319" s="210">
        <v>2021</v>
      </c>
      <c r="L319" s="212">
        <v>36</v>
      </c>
      <c r="M319" s="268">
        <v>20000</v>
      </c>
      <c r="N319" s="314"/>
      <c r="O319" s="213"/>
      <c r="P319" s="220"/>
      <c r="Q319" s="213"/>
      <c r="R319" s="213">
        <f t="shared" si="64"/>
        <v>20000</v>
      </c>
      <c r="S319" s="213">
        <f t="shared" si="65"/>
        <v>555.55555555555554</v>
      </c>
      <c r="T319" s="214"/>
    </row>
    <row r="320" spans="1:20" s="267" customFormat="1" ht="93.75" x14ac:dyDescent="0.3">
      <c r="A320" s="174">
        <v>34</v>
      </c>
      <c r="B320" s="269" t="s">
        <v>284</v>
      </c>
      <c r="C320" s="199"/>
      <c r="D320" s="199"/>
      <c r="E320" s="200" t="s">
        <v>285</v>
      </c>
      <c r="F320" s="199">
        <v>5</v>
      </c>
      <c r="G320" s="199"/>
      <c r="H320" s="209"/>
      <c r="I320" s="174">
        <v>1</v>
      </c>
      <c r="J320" s="209">
        <v>8</v>
      </c>
      <c r="K320" s="210">
        <v>2021</v>
      </c>
      <c r="L320" s="212">
        <v>7.8</v>
      </c>
      <c r="M320" s="211">
        <v>3800</v>
      </c>
      <c r="N320" s="314"/>
      <c r="O320" s="213"/>
      <c r="P320" s="220"/>
      <c r="Q320" s="213"/>
      <c r="R320" s="213">
        <f t="shared" si="64"/>
        <v>3800</v>
      </c>
      <c r="S320" s="213">
        <f t="shared" si="65"/>
        <v>487.17948717948718</v>
      </c>
      <c r="T320" s="214"/>
    </row>
    <row r="321" spans="1:20" s="267" customFormat="1" ht="93.75" x14ac:dyDescent="0.3">
      <c r="A321" s="174">
        <v>35</v>
      </c>
      <c r="B321" s="221" t="s">
        <v>286</v>
      </c>
      <c r="C321" s="199"/>
      <c r="D321" s="199"/>
      <c r="E321" s="200" t="s">
        <v>287</v>
      </c>
      <c r="F321" s="199">
        <v>5</v>
      </c>
      <c r="G321" s="199"/>
      <c r="H321" s="209"/>
      <c r="I321" s="174">
        <v>1</v>
      </c>
      <c r="J321" s="209">
        <v>8</v>
      </c>
      <c r="K321" s="210">
        <v>2021</v>
      </c>
      <c r="L321" s="212">
        <v>48.4</v>
      </c>
      <c r="M321" s="211">
        <f>8333.46*1.044</f>
        <v>8700.132239999999</v>
      </c>
      <c r="N321" s="314"/>
      <c r="O321" s="213"/>
      <c r="P321" s="220"/>
      <c r="Q321" s="213"/>
      <c r="R321" s="213">
        <f t="shared" si="64"/>
        <v>8700.132239999999</v>
      </c>
      <c r="S321" s="213">
        <f t="shared" si="65"/>
        <v>179.75479834710742</v>
      </c>
      <c r="T321" s="214"/>
    </row>
    <row r="322" spans="1:20" s="267" customFormat="1" ht="75" x14ac:dyDescent="0.3">
      <c r="A322" s="174">
        <v>36</v>
      </c>
      <c r="B322" s="198" t="s">
        <v>288</v>
      </c>
      <c r="C322" s="199"/>
      <c r="D322" s="199"/>
      <c r="E322" s="200" t="s">
        <v>289</v>
      </c>
      <c r="F322" s="199">
        <v>5</v>
      </c>
      <c r="G322" s="199"/>
      <c r="H322" s="209"/>
      <c r="I322" s="174">
        <v>1</v>
      </c>
      <c r="J322" s="209">
        <v>8</v>
      </c>
      <c r="K322" s="210">
        <v>2023</v>
      </c>
      <c r="L322" s="310"/>
      <c r="M322" s="216"/>
      <c r="N322" s="314"/>
      <c r="O322" s="213"/>
      <c r="P322" s="315">
        <v>50</v>
      </c>
      <c r="Q322" s="211">
        <v>20000</v>
      </c>
      <c r="R322" s="213">
        <f t="shared" si="64"/>
        <v>20000</v>
      </c>
      <c r="S322" s="213">
        <f>R322/P322</f>
        <v>400</v>
      </c>
      <c r="T322" s="214"/>
    </row>
    <row r="323" spans="1:20" s="267" customFormat="1" ht="75" x14ac:dyDescent="0.3">
      <c r="A323" s="174">
        <v>37</v>
      </c>
      <c r="B323" s="198" t="s">
        <v>237</v>
      </c>
      <c r="C323" s="199"/>
      <c r="D323" s="199"/>
      <c r="E323" s="200" t="s">
        <v>238</v>
      </c>
      <c r="F323" s="199">
        <v>5</v>
      </c>
      <c r="G323" s="199"/>
      <c r="H323" s="209"/>
      <c r="I323" s="174">
        <v>1</v>
      </c>
      <c r="J323" s="209">
        <v>8</v>
      </c>
      <c r="K323" s="210">
        <v>2023</v>
      </c>
      <c r="L323" s="310"/>
      <c r="M323" s="216"/>
      <c r="N323" s="314"/>
      <c r="O323" s="213"/>
      <c r="P323" s="315">
        <v>30</v>
      </c>
      <c r="Q323" s="211">
        <v>15000</v>
      </c>
      <c r="R323" s="213">
        <f t="shared" si="64"/>
        <v>15000</v>
      </c>
      <c r="S323" s="213">
        <f t="shared" ref="S323:S324" si="67">R323/P323</f>
        <v>500</v>
      </c>
      <c r="T323" s="214"/>
    </row>
    <row r="324" spans="1:20" s="267" customFormat="1" ht="93.75" x14ac:dyDescent="0.3">
      <c r="A324" s="174">
        <v>38</v>
      </c>
      <c r="B324" s="204" t="s">
        <v>211</v>
      </c>
      <c r="C324" s="199"/>
      <c r="D324" s="199"/>
      <c r="E324" s="200" t="s">
        <v>131</v>
      </c>
      <c r="F324" s="199">
        <v>5</v>
      </c>
      <c r="G324" s="199"/>
      <c r="H324" s="209"/>
      <c r="I324" s="174">
        <v>1</v>
      </c>
      <c r="J324" s="209">
        <v>8</v>
      </c>
      <c r="K324" s="210">
        <v>2023</v>
      </c>
      <c r="L324" s="310"/>
      <c r="M324" s="216"/>
      <c r="N324" s="314"/>
      <c r="O324" s="213"/>
      <c r="P324" s="315">
        <v>10</v>
      </c>
      <c r="Q324" s="211">
        <v>8000</v>
      </c>
      <c r="R324" s="213">
        <f t="shared" si="64"/>
        <v>8000</v>
      </c>
      <c r="S324" s="213">
        <f t="shared" si="67"/>
        <v>800</v>
      </c>
      <c r="T324" s="214"/>
    </row>
    <row r="325" spans="1:20" s="267" customFormat="1" ht="56.25" x14ac:dyDescent="0.3">
      <c r="A325" s="174">
        <v>39</v>
      </c>
      <c r="B325" s="233" t="s">
        <v>212</v>
      </c>
      <c r="C325" s="199"/>
      <c r="D325" s="199"/>
      <c r="E325" s="200" t="s">
        <v>74</v>
      </c>
      <c r="F325" s="199">
        <v>4</v>
      </c>
      <c r="G325" s="199"/>
      <c r="H325" s="209"/>
      <c r="I325" s="174">
        <v>1</v>
      </c>
      <c r="J325" s="209">
        <v>8</v>
      </c>
      <c r="K325" s="210">
        <v>2021</v>
      </c>
      <c r="L325" s="212">
        <v>621.79999999999995</v>
      </c>
      <c r="M325" s="211">
        <v>88000</v>
      </c>
      <c r="N325" s="314"/>
      <c r="O325" s="213"/>
      <c r="P325" s="220"/>
      <c r="Q325" s="213"/>
      <c r="R325" s="213">
        <f t="shared" si="64"/>
        <v>88000</v>
      </c>
      <c r="S325" s="213">
        <f t="shared" si="65"/>
        <v>141.52460598263107</v>
      </c>
      <c r="T325" s="214"/>
    </row>
    <row r="326" spans="1:20" s="267" customFormat="1" ht="56.25" x14ac:dyDescent="0.3">
      <c r="A326" s="174">
        <v>40</v>
      </c>
      <c r="B326" s="233" t="s">
        <v>213</v>
      </c>
      <c r="C326" s="199"/>
      <c r="D326" s="199"/>
      <c r="E326" s="200" t="s">
        <v>131</v>
      </c>
      <c r="F326" s="199">
        <v>4</v>
      </c>
      <c r="G326" s="199"/>
      <c r="H326" s="209"/>
      <c r="I326" s="174">
        <v>1</v>
      </c>
      <c r="J326" s="209">
        <v>8</v>
      </c>
      <c r="K326" s="210">
        <v>2023</v>
      </c>
      <c r="L326" s="310"/>
      <c r="M326" s="216"/>
      <c r="N326" s="314"/>
      <c r="O326" s="213"/>
      <c r="P326" s="315">
        <v>11.2</v>
      </c>
      <c r="Q326" s="211">
        <v>10000</v>
      </c>
      <c r="R326" s="213">
        <f t="shared" si="64"/>
        <v>10000</v>
      </c>
      <c r="S326" s="213">
        <f>R326/P326</f>
        <v>892.85714285714289</v>
      </c>
      <c r="T326" s="214"/>
    </row>
    <row r="327" spans="1:20" s="267" customFormat="1" ht="56.25" x14ac:dyDescent="0.3">
      <c r="A327" s="174">
        <v>41</v>
      </c>
      <c r="B327" s="233" t="s">
        <v>214</v>
      </c>
      <c r="C327" s="199"/>
      <c r="D327" s="199"/>
      <c r="E327" s="200" t="s">
        <v>131</v>
      </c>
      <c r="F327" s="199">
        <v>4</v>
      </c>
      <c r="G327" s="199"/>
      <c r="H327" s="209"/>
      <c r="I327" s="174">
        <v>1</v>
      </c>
      <c r="J327" s="209">
        <v>8</v>
      </c>
      <c r="K327" s="210">
        <v>2023</v>
      </c>
      <c r="L327" s="310"/>
      <c r="M327" s="216"/>
      <c r="N327" s="314"/>
      <c r="O327" s="213"/>
      <c r="P327" s="315">
        <v>23.7</v>
      </c>
      <c r="Q327" s="211">
        <v>18000</v>
      </c>
      <c r="R327" s="213">
        <f t="shared" si="64"/>
        <v>18000</v>
      </c>
      <c r="S327" s="213">
        <f t="shared" ref="S327:S328" si="68">R327/P327</f>
        <v>759.49367088607596</v>
      </c>
      <c r="T327" s="214"/>
    </row>
    <row r="328" spans="1:20" s="267" customFormat="1" ht="56.25" x14ac:dyDescent="0.3">
      <c r="A328" s="174">
        <v>42</v>
      </c>
      <c r="B328" s="198" t="s">
        <v>215</v>
      </c>
      <c r="C328" s="199"/>
      <c r="D328" s="199"/>
      <c r="E328" s="200" t="s">
        <v>131</v>
      </c>
      <c r="F328" s="199">
        <v>2</v>
      </c>
      <c r="G328" s="199"/>
      <c r="H328" s="209"/>
      <c r="I328" s="174">
        <v>1</v>
      </c>
      <c r="J328" s="209">
        <v>8</v>
      </c>
      <c r="K328" s="210">
        <v>2023</v>
      </c>
      <c r="L328" s="310"/>
      <c r="M328" s="216"/>
      <c r="N328" s="314"/>
      <c r="O328" s="213"/>
      <c r="P328" s="315">
        <v>5.0999999999999996</v>
      </c>
      <c r="Q328" s="213">
        <v>35700</v>
      </c>
      <c r="R328" s="213">
        <f t="shared" si="64"/>
        <v>35700</v>
      </c>
      <c r="S328" s="213">
        <f t="shared" si="68"/>
        <v>7000.0000000000009</v>
      </c>
      <c r="T328" s="214"/>
    </row>
    <row r="329" spans="1:20" s="267" customFormat="1" ht="56.25" x14ac:dyDescent="0.3">
      <c r="A329" s="174">
        <v>43</v>
      </c>
      <c r="B329" s="204" t="s">
        <v>216</v>
      </c>
      <c r="C329" s="199"/>
      <c r="D329" s="199"/>
      <c r="E329" s="200" t="s">
        <v>89</v>
      </c>
      <c r="F329" s="199">
        <v>5</v>
      </c>
      <c r="G329" s="199"/>
      <c r="H329" s="209"/>
      <c r="I329" s="174">
        <v>1</v>
      </c>
      <c r="J329" s="209">
        <v>8</v>
      </c>
      <c r="K329" s="210">
        <v>2021</v>
      </c>
      <c r="L329" s="212">
        <v>38.799999999999997</v>
      </c>
      <c r="M329" s="229">
        <v>16000</v>
      </c>
      <c r="N329" s="314"/>
      <c r="O329" s="213"/>
      <c r="P329" s="220"/>
      <c r="Q329" s="213"/>
      <c r="R329" s="213">
        <f t="shared" si="64"/>
        <v>16000</v>
      </c>
      <c r="S329" s="213">
        <f t="shared" si="65"/>
        <v>412.37113402061857</v>
      </c>
      <c r="T329" s="214"/>
    </row>
    <row r="330" spans="1:20" s="267" customFormat="1" ht="68.25" customHeight="1" x14ac:dyDescent="0.3">
      <c r="A330" s="174">
        <v>44</v>
      </c>
      <c r="B330" s="204" t="s">
        <v>217</v>
      </c>
      <c r="C330" s="199"/>
      <c r="D330" s="199"/>
      <c r="E330" s="200" t="s">
        <v>89</v>
      </c>
      <c r="F330" s="199">
        <v>5</v>
      </c>
      <c r="G330" s="199"/>
      <c r="H330" s="209"/>
      <c r="I330" s="174">
        <v>1</v>
      </c>
      <c r="J330" s="209">
        <v>8</v>
      </c>
      <c r="K330" s="210">
        <v>2021</v>
      </c>
      <c r="L330" s="212">
        <v>8</v>
      </c>
      <c r="M330" s="229">
        <v>4000</v>
      </c>
      <c r="N330" s="314"/>
      <c r="O330" s="213"/>
      <c r="P330" s="220"/>
      <c r="Q330" s="213"/>
      <c r="R330" s="213">
        <f t="shared" si="64"/>
        <v>4000</v>
      </c>
      <c r="S330" s="213">
        <f t="shared" si="65"/>
        <v>500</v>
      </c>
      <c r="T330" s="214"/>
    </row>
    <row r="331" spans="1:20" s="267" customFormat="1" ht="56.25" x14ac:dyDescent="0.3">
      <c r="A331" s="174">
        <v>45</v>
      </c>
      <c r="B331" s="204" t="s">
        <v>218</v>
      </c>
      <c r="C331" s="199"/>
      <c r="D331" s="199"/>
      <c r="E331" s="200" t="s">
        <v>79</v>
      </c>
      <c r="F331" s="199">
        <v>5</v>
      </c>
      <c r="G331" s="199"/>
      <c r="H331" s="209"/>
      <c r="I331" s="174">
        <v>1</v>
      </c>
      <c r="J331" s="209">
        <v>8</v>
      </c>
      <c r="K331" s="210">
        <v>2022</v>
      </c>
      <c r="L331" s="310"/>
      <c r="M331" s="216"/>
      <c r="N331" s="315">
        <v>25</v>
      </c>
      <c r="O331" s="229">
        <v>10000</v>
      </c>
      <c r="P331" s="220"/>
      <c r="Q331" s="213"/>
      <c r="R331" s="213">
        <f t="shared" si="64"/>
        <v>10000</v>
      </c>
      <c r="S331" s="213">
        <f>R331/N331</f>
        <v>400</v>
      </c>
      <c r="T331" s="214"/>
    </row>
    <row r="332" spans="1:20" s="267" customFormat="1" ht="65.25" customHeight="1" x14ac:dyDescent="0.3">
      <c r="A332" s="174">
        <v>46</v>
      </c>
      <c r="B332" s="204" t="s">
        <v>219</v>
      </c>
      <c r="C332" s="199"/>
      <c r="D332" s="199"/>
      <c r="E332" s="200" t="s">
        <v>89</v>
      </c>
      <c r="F332" s="199">
        <v>4</v>
      </c>
      <c r="G332" s="199"/>
      <c r="H332" s="209"/>
      <c r="I332" s="174">
        <v>1</v>
      </c>
      <c r="J332" s="209">
        <v>8</v>
      </c>
      <c r="K332" s="210">
        <v>2022</v>
      </c>
      <c r="L332" s="212"/>
      <c r="M332" s="211"/>
      <c r="N332" s="315">
        <v>14.45</v>
      </c>
      <c r="O332" s="211">
        <v>8000</v>
      </c>
      <c r="P332" s="220"/>
      <c r="Q332" s="213"/>
      <c r="R332" s="213">
        <f t="shared" si="64"/>
        <v>8000</v>
      </c>
      <c r="S332" s="213">
        <f t="shared" ref="S332:S333" si="69">R332/N332</f>
        <v>553.6332179930796</v>
      </c>
      <c r="T332" s="214"/>
    </row>
    <row r="333" spans="1:20" s="267" customFormat="1" ht="56.25" x14ac:dyDescent="0.3">
      <c r="A333" s="174">
        <v>47</v>
      </c>
      <c r="B333" s="256" t="s">
        <v>239</v>
      </c>
      <c r="C333" s="199"/>
      <c r="D333" s="199"/>
      <c r="E333" s="200" t="s">
        <v>74</v>
      </c>
      <c r="F333" s="199">
        <v>4</v>
      </c>
      <c r="G333" s="199"/>
      <c r="H333" s="209"/>
      <c r="I333" s="174">
        <v>1</v>
      </c>
      <c r="J333" s="209">
        <v>8</v>
      </c>
      <c r="K333" s="210">
        <v>2022</v>
      </c>
      <c r="L333" s="310"/>
      <c r="M333" s="216"/>
      <c r="N333" s="465">
        <v>20.8</v>
      </c>
      <c r="O333" s="211">
        <v>10000</v>
      </c>
      <c r="P333" s="220"/>
      <c r="Q333" s="213"/>
      <c r="R333" s="213">
        <f t="shared" si="64"/>
        <v>10000</v>
      </c>
      <c r="S333" s="213">
        <f t="shared" si="69"/>
        <v>480.76923076923077</v>
      </c>
      <c r="T333" s="214"/>
    </row>
    <row r="334" spans="1:20" s="267" customFormat="1" ht="56.25" x14ac:dyDescent="0.3">
      <c r="A334" s="174">
        <v>48</v>
      </c>
      <c r="B334" s="256" t="s">
        <v>240</v>
      </c>
      <c r="C334" s="199"/>
      <c r="D334" s="199"/>
      <c r="E334" s="200" t="s">
        <v>39</v>
      </c>
      <c r="F334" s="199">
        <v>3</v>
      </c>
      <c r="G334" s="199"/>
      <c r="H334" s="209"/>
      <c r="I334" s="174">
        <v>1</v>
      </c>
      <c r="J334" s="209">
        <v>8</v>
      </c>
      <c r="K334" s="210">
        <v>2021</v>
      </c>
      <c r="L334" s="464">
        <v>26.5</v>
      </c>
      <c r="M334" s="211">
        <v>8000</v>
      </c>
      <c r="N334" s="314"/>
      <c r="O334" s="213"/>
      <c r="P334" s="220"/>
      <c r="Q334" s="213"/>
      <c r="R334" s="213">
        <f t="shared" si="64"/>
        <v>8000</v>
      </c>
      <c r="S334" s="213">
        <f t="shared" si="65"/>
        <v>301.88679245283021</v>
      </c>
      <c r="T334" s="214"/>
    </row>
    <row r="335" spans="1:20" s="267" customFormat="1" ht="56.25" x14ac:dyDescent="0.3">
      <c r="A335" s="174">
        <v>50</v>
      </c>
      <c r="B335" s="206" t="s">
        <v>220</v>
      </c>
      <c r="C335" s="199"/>
      <c r="D335" s="199"/>
      <c r="E335" s="200" t="s">
        <v>221</v>
      </c>
      <c r="F335" s="199">
        <v>5</v>
      </c>
      <c r="G335" s="199"/>
      <c r="H335" s="209"/>
      <c r="I335" s="174">
        <v>1</v>
      </c>
      <c r="J335" s="209">
        <v>8</v>
      </c>
      <c r="K335" s="210">
        <v>2021</v>
      </c>
      <c r="L335" s="212">
        <v>25.7</v>
      </c>
      <c r="M335" s="211">
        <v>12000</v>
      </c>
      <c r="N335" s="314"/>
      <c r="O335" s="213"/>
      <c r="P335" s="220"/>
      <c r="Q335" s="213"/>
      <c r="R335" s="213">
        <f t="shared" si="64"/>
        <v>12000</v>
      </c>
      <c r="S335" s="213">
        <f t="shared" si="65"/>
        <v>466.9260700389105</v>
      </c>
      <c r="T335" s="214"/>
    </row>
    <row r="336" spans="1:20" s="267" customFormat="1" ht="75" x14ac:dyDescent="0.3">
      <c r="A336" s="174">
        <v>51</v>
      </c>
      <c r="B336" s="206" t="s">
        <v>222</v>
      </c>
      <c r="C336" s="199"/>
      <c r="D336" s="199"/>
      <c r="E336" s="200" t="s">
        <v>74</v>
      </c>
      <c r="F336" s="199">
        <v>3</v>
      </c>
      <c r="G336" s="199"/>
      <c r="H336" s="209"/>
      <c r="I336" s="174">
        <v>1</v>
      </c>
      <c r="J336" s="209">
        <v>8</v>
      </c>
      <c r="K336" s="210">
        <v>2022</v>
      </c>
      <c r="L336" s="310"/>
      <c r="M336" s="216"/>
      <c r="N336" s="315">
        <v>71.75</v>
      </c>
      <c r="O336" s="211">
        <v>6000</v>
      </c>
      <c r="P336" s="220"/>
      <c r="Q336" s="213"/>
      <c r="R336" s="213">
        <f t="shared" si="64"/>
        <v>6000</v>
      </c>
      <c r="S336" s="213">
        <f>R336/N336</f>
        <v>83.623693379790936</v>
      </c>
      <c r="T336" s="214"/>
    </row>
    <row r="337" spans="1:20" s="267" customFormat="1" ht="56.25" x14ac:dyDescent="0.3">
      <c r="A337" s="174">
        <v>52</v>
      </c>
      <c r="B337" s="206" t="s">
        <v>241</v>
      </c>
      <c r="C337" s="257"/>
      <c r="D337" s="257"/>
      <c r="E337" s="200" t="s">
        <v>131</v>
      </c>
      <c r="F337" s="257">
        <v>3</v>
      </c>
      <c r="G337" s="257"/>
      <c r="H337" s="270"/>
      <c r="I337" s="222">
        <v>2</v>
      </c>
      <c r="J337" s="270">
        <v>8</v>
      </c>
      <c r="K337" s="271">
        <v>2023</v>
      </c>
      <c r="L337" s="312"/>
      <c r="M337" s="272"/>
      <c r="N337" s="317"/>
      <c r="O337" s="273"/>
      <c r="P337" s="315">
        <v>125.5</v>
      </c>
      <c r="Q337" s="211">
        <v>20000</v>
      </c>
      <c r="R337" s="273">
        <f t="shared" si="64"/>
        <v>20000</v>
      </c>
      <c r="S337" s="213">
        <f>R337/P337</f>
        <v>159.36254980079681</v>
      </c>
      <c r="T337" s="274"/>
    </row>
    <row r="338" spans="1:20" s="267" customFormat="1" ht="64.5" customHeight="1" x14ac:dyDescent="0.3">
      <c r="A338" s="174">
        <v>53</v>
      </c>
      <c r="B338" s="206" t="s">
        <v>242</v>
      </c>
      <c r="C338" s="199"/>
      <c r="D338" s="199"/>
      <c r="E338" s="248" t="s">
        <v>89</v>
      </c>
      <c r="F338" s="199">
        <v>5</v>
      </c>
      <c r="G338" s="199"/>
      <c r="H338" s="209"/>
      <c r="I338" s="174">
        <v>1</v>
      </c>
      <c r="J338" s="209">
        <v>8</v>
      </c>
      <c r="K338" s="210">
        <v>2021</v>
      </c>
      <c r="L338" s="310">
        <v>80</v>
      </c>
      <c r="M338" s="216">
        <v>18028</v>
      </c>
      <c r="N338" s="314"/>
      <c r="O338" s="213"/>
      <c r="P338" s="315"/>
      <c r="Q338" s="211"/>
      <c r="R338" s="213">
        <f t="shared" si="64"/>
        <v>18028</v>
      </c>
      <c r="S338" s="213">
        <f t="shared" si="65"/>
        <v>225.35</v>
      </c>
      <c r="T338" s="214"/>
    </row>
    <row r="339" spans="1:20" ht="24.75" customHeight="1" x14ac:dyDescent="0.2">
      <c r="A339" s="933" t="s">
        <v>290</v>
      </c>
      <c r="B339" s="862" t="s">
        <v>291</v>
      </c>
      <c r="C339" s="863"/>
      <c r="D339" s="863"/>
      <c r="E339" s="863"/>
      <c r="F339" s="863"/>
      <c r="G339" s="864"/>
      <c r="H339" s="487">
        <v>1</v>
      </c>
      <c r="I339" s="929" t="s">
        <v>20</v>
      </c>
      <c r="J339" s="930"/>
      <c r="K339" s="931"/>
      <c r="L339" s="468">
        <f>L340+L341+L342</f>
        <v>0</v>
      </c>
      <c r="M339" s="468">
        <f t="shared" ref="M339:R339" si="70">M340+M341+M342</f>
        <v>1110078.9924600001</v>
      </c>
      <c r="N339" s="468">
        <f t="shared" si="70"/>
        <v>0</v>
      </c>
      <c r="O339" s="468">
        <f t="shared" si="70"/>
        <v>1511360.7447999998</v>
      </c>
      <c r="P339" s="468">
        <f t="shared" si="70"/>
        <v>0</v>
      </c>
      <c r="Q339" s="468">
        <f t="shared" si="70"/>
        <v>1494695.1745919997</v>
      </c>
      <c r="R339" s="468">
        <f t="shared" si="70"/>
        <v>4116134.9118520003</v>
      </c>
      <c r="S339" s="469"/>
      <c r="T339" s="470"/>
    </row>
    <row r="340" spans="1:20" s="427" customFormat="1" ht="24.75" customHeight="1" x14ac:dyDescent="0.2">
      <c r="A340" s="933"/>
      <c r="B340" s="862"/>
      <c r="C340" s="863"/>
      <c r="D340" s="863"/>
      <c r="E340" s="863"/>
      <c r="F340" s="863"/>
      <c r="G340" s="864"/>
      <c r="H340" s="424">
        <v>2</v>
      </c>
      <c r="I340" s="869" t="s">
        <v>22</v>
      </c>
      <c r="J340" s="870"/>
      <c r="K340" s="871"/>
      <c r="L340" s="422">
        <f>L343</f>
        <v>0</v>
      </c>
      <c r="M340" s="422">
        <f t="shared" ref="M340:R340" si="71">M343</f>
        <v>888269.53246000002</v>
      </c>
      <c r="N340" s="422">
        <f t="shared" si="71"/>
        <v>0</v>
      </c>
      <c r="O340" s="422">
        <f t="shared" si="71"/>
        <v>0</v>
      </c>
      <c r="P340" s="422">
        <f t="shared" si="71"/>
        <v>0</v>
      </c>
      <c r="Q340" s="422">
        <f t="shared" si="71"/>
        <v>0</v>
      </c>
      <c r="R340" s="422">
        <f t="shared" si="71"/>
        <v>888269.53246000002</v>
      </c>
      <c r="S340" s="422"/>
      <c r="T340" s="423"/>
    </row>
    <row r="341" spans="1:20" ht="24.75" customHeight="1" x14ac:dyDescent="0.2">
      <c r="A341" s="933"/>
      <c r="B341" s="862"/>
      <c r="C341" s="863"/>
      <c r="D341" s="863"/>
      <c r="E341" s="863"/>
      <c r="F341" s="863"/>
      <c r="G341" s="864"/>
      <c r="H341" s="130">
        <v>3</v>
      </c>
      <c r="I341" s="872" t="s">
        <v>99</v>
      </c>
      <c r="J341" s="873"/>
      <c r="K341" s="874"/>
      <c r="L341" s="13">
        <f>L354</f>
        <v>0</v>
      </c>
      <c r="M341" s="13">
        <f t="shared" ref="M341:R341" si="72">M354</f>
        <v>221809.46000000002</v>
      </c>
      <c r="N341" s="13">
        <f t="shared" si="72"/>
        <v>0</v>
      </c>
      <c r="O341" s="13">
        <f t="shared" si="72"/>
        <v>1511360.7447999998</v>
      </c>
      <c r="P341" s="13">
        <f t="shared" si="72"/>
        <v>0</v>
      </c>
      <c r="Q341" s="13">
        <f t="shared" si="72"/>
        <v>1494695.1745919997</v>
      </c>
      <c r="R341" s="13">
        <f t="shared" si="72"/>
        <v>3227865.3793920004</v>
      </c>
      <c r="S341" s="13"/>
      <c r="T341" s="282"/>
    </row>
    <row r="342" spans="1:20" ht="33" customHeight="1" thickBot="1" x14ac:dyDescent="0.25">
      <c r="A342" s="934"/>
      <c r="B342" s="865"/>
      <c r="C342" s="866"/>
      <c r="D342" s="866"/>
      <c r="E342" s="866"/>
      <c r="F342" s="866"/>
      <c r="G342" s="867"/>
      <c r="H342" s="234">
        <v>4</v>
      </c>
      <c r="I342" s="909" t="s">
        <v>25</v>
      </c>
      <c r="J342" s="910"/>
      <c r="K342" s="911"/>
      <c r="L342" s="16">
        <f>L370</f>
        <v>0</v>
      </c>
      <c r="M342" s="16">
        <f t="shared" ref="M342:R342" si="73">M370</f>
        <v>0</v>
      </c>
      <c r="N342" s="16">
        <f t="shared" si="73"/>
        <v>0</v>
      </c>
      <c r="O342" s="16">
        <f t="shared" si="73"/>
        <v>0</v>
      </c>
      <c r="P342" s="16">
        <f t="shared" si="73"/>
        <v>0</v>
      </c>
      <c r="Q342" s="16">
        <f t="shared" si="73"/>
        <v>0</v>
      </c>
      <c r="R342" s="16">
        <f t="shared" si="73"/>
        <v>0</v>
      </c>
      <c r="S342" s="235"/>
      <c r="T342" s="283"/>
    </row>
    <row r="343" spans="1:20" s="427" customFormat="1" ht="25.5" x14ac:dyDescent="0.25">
      <c r="A343" s="428" t="s">
        <v>26</v>
      </c>
      <c r="B343" s="428"/>
      <c r="C343" s="428"/>
      <c r="D343" s="428"/>
      <c r="E343" s="428"/>
      <c r="F343" s="412"/>
      <c r="G343" s="413"/>
      <c r="H343" s="414"/>
      <c r="I343" s="414"/>
      <c r="J343" s="414"/>
      <c r="K343" s="414"/>
      <c r="L343" s="414"/>
      <c r="M343" s="414">
        <f>SUM(M344:M353)</f>
        <v>888269.53246000002</v>
      </c>
      <c r="N343" s="414"/>
      <c r="O343" s="414"/>
      <c r="P343" s="414"/>
      <c r="Q343" s="414"/>
      <c r="R343" s="414">
        <f>SUM(R344:R353)</f>
        <v>888269.53246000002</v>
      </c>
      <c r="S343" s="418"/>
      <c r="T343" s="418"/>
    </row>
    <row r="344" spans="1:20" s="267" customFormat="1" ht="131.25" x14ac:dyDescent="0.3">
      <c r="A344" s="174">
        <v>1</v>
      </c>
      <c r="B344" s="284" t="s">
        <v>315</v>
      </c>
      <c r="C344" s="138"/>
      <c r="D344" s="285"/>
      <c r="E344" s="285"/>
      <c r="F344" s="286"/>
      <c r="G344" s="184"/>
      <c r="H344" s="287"/>
      <c r="I344" s="287"/>
      <c r="J344" s="287"/>
      <c r="K344" s="287"/>
      <c r="L344" s="287"/>
      <c r="M344" s="368">
        <v>728648.73</v>
      </c>
      <c r="N344" s="287"/>
      <c r="O344" s="287"/>
      <c r="P344" s="287"/>
      <c r="Q344" s="287"/>
      <c r="R344" s="213">
        <f>Q344+M344+O344</f>
        <v>728648.73</v>
      </c>
      <c r="S344" s="289"/>
      <c r="T344" s="289"/>
    </row>
    <row r="345" spans="1:20" s="267" customFormat="1" ht="79.5" customHeight="1" x14ac:dyDescent="0.3">
      <c r="A345" s="174">
        <f>A344+1</f>
        <v>2</v>
      </c>
      <c r="B345" s="284" t="s">
        <v>316</v>
      </c>
      <c r="C345" s="138"/>
      <c r="D345" s="285"/>
      <c r="E345" s="285"/>
      <c r="F345" s="286"/>
      <c r="G345" s="184"/>
      <c r="H345" s="287"/>
      <c r="I345" s="287"/>
      <c r="J345" s="287"/>
      <c r="K345" s="287"/>
      <c r="L345" s="287"/>
      <c r="M345" s="368">
        <v>58141.51</v>
      </c>
      <c r="N345" s="287"/>
      <c r="O345" s="287"/>
      <c r="P345" s="287"/>
      <c r="Q345" s="287"/>
      <c r="R345" s="213">
        <f t="shared" ref="R345:R353" si="74">Q345+M345+O345</f>
        <v>58141.51</v>
      </c>
      <c r="S345" s="289"/>
      <c r="T345" s="289"/>
    </row>
    <row r="346" spans="1:20" s="267" customFormat="1" ht="75" x14ac:dyDescent="0.3">
      <c r="A346" s="174">
        <f t="shared" ref="A346:A353" si="75">A345+1</f>
        <v>3</v>
      </c>
      <c r="B346" s="284" t="s">
        <v>317</v>
      </c>
      <c r="C346" s="138"/>
      <c r="D346" s="285"/>
      <c r="E346" s="285"/>
      <c r="F346" s="286"/>
      <c r="G346" s="184"/>
      <c r="H346" s="287"/>
      <c r="I346" s="287"/>
      <c r="J346" s="287"/>
      <c r="K346" s="287"/>
      <c r="L346" s="287"/>
      <c r="M346" s="368">
        <v>19828.54</v>
      </c>
      <c r="N346" s="287"/>
      <c r="O346" s="287"/>
      <c r="P346" s="287"/>
      <c r="Q346" s="287"/>
      <c r="R346" s="213">
        <f t="shared" si="74"/>
        <v>19828.54</v>
      </c>
      <c r="S346" s="289"/>
      <c r="T346" s="289"/>
    </row>
    <row r="347" spans="1:20" s="267" customFormat="1" ht="75" x14ac:dyDescent="0.3">
      <c r="A347" s="174">
        <f t="shared" si="75"/>
        <v>4</v>
      </c>
      <c r="B347" s="284" t="s">
        <v>318</v>
      </c>
      <c r="C347" s="138"/>
      <c r="D347" s="285"/>
      <c r="E347" s="285"/>
      <c r="F347" s="286"/>
      <c r="G347" s="184"/>
      <c r="H347" s="287"/>
      <c r="I347" s="287"/>
      <c r="J347" s="287"/>
      <c r="K347" s="287"/>
      <c r="L347" s="287"/>
      <c r="M347" s="368">
        <v>29434.74</v>
      </c>
      <c r="N347" s="287"/>
      <c r="O347" s="287"/>
      <c r="P347" s="287"/>
      <c r="Q347" s="287"/>
      <c r="R347" s="213">
        <f t="shared" si="74"/>
        <v>29434.74</v>
      </c>
      <c r="S347" s="289"/>
      <c r="T347" s="289"/>
    </row>
    <row r="348" spans="1:20" s="267" customFormat="1" ht="84" customHeight="1" x14ac:dyDescent="0.3">
      <c r="A348" s="174">
        <f t="shared" si="75"/>
        <v>5</v>
      </c>
      <c r="B348" s="284" t="s">
        <v>319</v>
      </c>
      <c r="C348" s="138"/>
      <c r="D348" s="285"/>
      <c r="E348" s="285"/>
      <c r="F348" s="286"/>
      <c r="G348" s="184"/>
      <c r="H348" s="287"/>
      <c r="I348" s="287"/>
      <c r="J348" s="287"/>
      <c r="K348" s="287"/>
      <c r="L348" s="287"/>
      <c r="M348" s="368">
        <v>32964.11</v>
      </c>
      <c r="N348" s="287"/>
      <c r="O348" s="287"/>
      <c r="P348" s="287"/>
      <c r="Q348" s="287"/>
      <c r="R348" s="213">
        <f t="shared" si="74"/>
        <v>32964.11</v>
      </c>
      <c r="S348" s="289"/>
      <c r="T348" s="289"/>
    </row>
    <row r="349" spans="1:20" s="267" customFormat="1" ht="72.75" customHeight="1" x14ac:dyDescent="0.3">
      <c r="A349" s="174">
        <f t="shared" si="75"/>
        <v>6</v>
      </c>
      <c r="B349" s="367" t="s">
        <v>342</v>
      </c>
      <c r="C349" s="138"/>
      <c r="D349" s="285"/>
      <c r="E349" s="285"/>
      <c r="F349" s="286"/>
      <c r="G349" s="184"/>
      <c r="H349" s="287"/>
      <c r="I349" s="287"/>
      <c r="J349" s="287"/>
      <c r="K349" s="287"/>
      <c r="L349" s="287"/>
      <c r="M349" s="368">
        <v>8894.99</v>
      </c>
      <c r="N349" s="287"/>
      <c r="O349" s="287"/>
      <c r="P349" s="287"/>
      <c r="Q349" s="287"/>
      <c r="R349" s="213">
        <f t="shared" si="74"/>
        <v>8894.99</v>
      </c>
      <c r="S349" s="289"/>
      <c r="T349" s="289"/>
    </row>
    <row r="350" spans="1:20" s="267" customFormat="1" ht="72.75" customHeight="1" x14ac:dyDescent="0.3">
      <c r="A350" s="174">
        <f t="shared" si="75"/>
        <v>7</v>
      </c>
      <c r="B350" s="370" t="s">
        <v>343</v>
      </c>
      <c r="C350" s="138"/>
      <c r="D350" s="285"/>
      <c r="E350" s="285"/>
      <c r="F350" s="286"/>
      <c r="G350" s="184"/>
      <c r="H350" s="287"/>
      <c r="I350" s="287"/>
      <c r="J350" s="287"/>
      <c r="K350" s="287"/>
      <c r="L350" s="287"/>
      <c r="M350" s="368">
        <v>3111.48756</v>
      </c>
      <c r="N350" s="287"/>
      <c r="O350" s="287"/>
      <c r="P350" s="287"/>
      <c r="Q350" s="287"/>
      <c r="R350" s="213">
        <f t="shared" si="74"/>
        <v>3111.48756</v>
      </c>
      <c r="S350" s="289"/>
      <c r="T350" s="289"/>
    </row>
    <row r="351" spans="1:20" s="267" customFormat="1" ht="84" customHeight="1" x14ac:dyDescent="0.3">
      <c r="A351" s="174">
        <f t="shared" si="75"/>
        <v>8</v>
      </c>
      <c r="B351" s="290" t="s">
        <v>292</v>
      </c>
      <c r="C351" s="138"/>
      <c r="D351" s="285"/>
      <c r="E351" s="285"/>
      <c r="F351" s="286"/>
      <c r="G351" s="184"/>
      <c r="H351" s="287"/>
      <c r="I351" s="287"/>
      <c r="J351" s="287"/>
      <c r="K351" s="287"/>
      <c r="L351" s="287"/>
      <c r="M351" s="369">
        <v>1508.7909999999999</v>
      </c>
      <c r="N351" s="287"/>
      <c r="O351" s="287"/>
      <c r="P351" s="287"/>
      <c r="Q351" s="287"/>
      <c r="R351" s="213">
        <f t="shared" si="74"/>
        <v>1508.7909999999999</v>
      </c>
      <c r="S351" s="289"/>
      <c r="T351" s="289"/>
    </row>
    <row r="352" spans="1:20" s="267" customFormat="1" ht="56.25" x14ac:dyDescent="0.3">
      <c r="A352" s="174">
        <f t="shared" si="75"/>
        <v>9</v>
      </c>
      <c r="B352" s="290" t="s">
        <v>293</v>
      </c>
      <c r="C352" s="138"/>
      <c r="D352" s="285"/>
      <c r="E352" s="285"/>
      <c r="F352" s="286"/>
      <c r="G352" s="184"/>
      <c r="H352" s="287"/>
      <c r="I352" s="287"/>
      <c r="J352" s="287"/>
      <c r="K352" s="287"/>
      <c r="L352" s="287"/>
      <c r="M352" s="369">
        <v>2941.3440000000001</v>
      </c>
      <c r="N352" s="287"/>
      <c r="O352" s="287"/>
      <c r="P352" s="287"/>
      <c r="Q352" s="287"/>
      <c r="R352" s="213">
        <f t="shared" si="74"/>
        <v>2941.3440000000001</v>
      </c>
      <c r="S352" s="289"/>
      <c r="T352" s="289"/>
    </row>
    <row r="353" spans="1:21" s="267" customFormat="1" ht="66" customHeight="1" x14ac:dyDescent="0.3">
      <c r="A353" s="174">
        <f t="shared" si="75"/>
        <v>10</v>
      </c>
      <c r="B353" s="290" t="s">
        <v>294</v>
      </c>
      <c r="C353" s="285"/>
      <c r="D353" s="285"/>
      <c r="E353" s="285"/>
      <c r="F353" s="286"/>
      <c r="G353" s="184"/>
      <c r="H353" s="287"/>
      <c r="I353" s="287"/>
      <c r="J353" s="287"/>
      <c r="K353" s="287"/>
      <c r="L353" s="287"/>
      <c r="M353" s="369">
        <v>2795.2899000000002</v>
      </c>
      <c r="N353" s="287"/>
      <c r="O353" s="287"/>
      <c r="P353" s="287"/>
      <c r="Q353" s="287"/>
      <c r="R353" s="213">
        <f t="shared" si="74"/>
        <v>2795.2899000000002</v>
      </c>
      <c r="S353" s="289"/>
      <c r="T353" s="289"/>
    </row>
    <row r="354" spans="1:21" ht="25.5" x14ac:dyDescent="0.2">
      <c r="A354" s="292"/>
      <c r="B354" s="293" t="s">
        <v>99</v>
      </c>
      <c r="C354" s="65"/>
      <c r="D354" s="63"/>
      <c r="E354" s="64"/>
      <c r="F354" s="65"/>
      <c r="G354" s="66"/>
      <c r="H354" s="66"/>
      <c r="I354" s="67"/>
      <c r="J354" s="68"/>
      <c r="K354" s="68"/>
      <c r="L354" s="13"/>
      <c r="M354" s="13">
        <f>SUM(M355:M369)</f>
        <v>221809.46000000002</v>
      </c>
      <c r="N354" s="13"/>
      <c r="O354" s="13">
        <f>SUM(O355:O369)</f>
        <v>1511360.7447999998</v>
      </c>
      <c r="P354" s="13"/>
      <c r="Q354" s="13">
        <f>SUM(Q355:Q369)</f>
        <v>1494695.1745919997</v>
      </c>
      <c r="R354" s="13">
        <f>SUM(R355:R369)</f>
        <v>3227865.3793920004</v>
      </c>
      <c r="S354" s="13"/>
      <c r="T354" s="13"/>
    </row>
    <row r="355" spans="1:21" s="267" customFormat="1" ht="120" customHeight="1" x14ac:dyDescent="0.3">
      <c r="A355" s="174">
        <v>1</v>
      </c>
      <c r="B355" s="284" t="s">
        <v>295</v>
      </c>
      <c r="C355" s="199"/>
      <c r="D355" s="199"/>
      <c r="E355" s="199"/>
      <c r="F355" s="199"/>
      <c r="G355" s="199"/>
      <c r="H355" s="209"/>
      <c r="I355" s="174"/>
      <c r="J355" s="209"/>
      <c r="K355" s="210"/>
      <c r="L355" s="216"/>
      <c r="M355" s="138"/>
      <c r="N355" s="184"/>
      <c r="O355" s="213">
        <f>728648.73*1.04*0+1003617.268</f>
        <v>1003617.268</v>
      </c>
      <c r="P355" s="213"/>
      <c r="Q355" s="213">
        <f>O355*1.04</f>
        <v>1043761.9587200001</v>
      </c>
      <c r="R355" s="213">
        <f>O355+Q355</f>
        <v>2047379.2267200002</v>
      </c>
      <c r="S355" s="213"/>
      <c r="T355" s="214"/>
      <c r="U355" s="294"/>
    </row>
    <row r="356" spans="1:21" s="267" customFormat="1" ht="75" x14ac:dyDescent="0.3">
      <c r="A356" s="222">
        <v>2</v>
      </c>
      <c r="B356" s="284" t="s">
        <v>296</v>
      </c>
      <c r="C356" s="257"/>
      <c r="D356" s="257"/>
      <c r="E356" s="257"/>
      <c r="F356" s="257"/>
      <c r="G356" s="257"/>
      <c r="H356" s="270"/>
      <c r="I356" s="222"/>
      <c r="J356" s="270"/>
      <c r="K356" s="271"/>
      <c r="L356" s="272"/>
      <c r="M356" s="138"/>
      <c r="N356" s="172"/>
      <c r="O356" s="273">
        <f>58141.51*1.04*0+67569.498</f>
        <v>67569.498000000007</v>
      </c>
      <c r="P356" s="273"/>
      <c r="Q356" s="273">
        <f t="shared" ref="Q356:Q368" si="76">O356*1.04</f>
        <v>70272.277920000008</v>
      </c>
      <c r="R356" s="213">
        <f t="shared" ref="R356:R360" si="77">O356+Q356</f>
        <v>137841.77592000001</v>
      </c>
      <c r="S356" s="273"/>
      <c r="T356" s="274"/>
      <c r="U356" s="294"/>
    </row>
    <row r="357" spans="1:21" s="267" customFormat="1" ht="75" x14ac:dyDescent="0.3">
      <c r="A357" s="222">
        <v>3</v>
      </c>
      <c r="B357" s="284" t="s">
        <v>297</v>
      </c>
      <c r="C357" s="257"/>
      <c r="D357" s="257"/>
      <c r="E357" s="257"/>
      <c r="F357" s="257"/>
      <c r="G357" s="257"/>
      <c r="H357" s="270"/>
      <c r="I357" s="222"/>
      <c r="J357" s="270"/>
      <c r="K357" s="271"/>
      <c r="L357" s="272"/>
      <c r="M357" s="138"/>
      <c r="N357" s="172"/>
      <c r="O357" s="273">
        <f>19828.54*1.04*0+45073.399</f>
        <v>45073.398999999998</v>
      </c>
      <c r="P357" s="273"/>
      <c r="Q357" s="273">
        <f t="shared" si="76"/>
        <v>46876.33496</v>
      </c>
      <c r="R357" s="213">
        <f t="shared" si="77"/>
        <v>91949.733959999998</v>
      </c>
      <c r="S357" s="273"/>
      <c r="T357" s="274"/>
      <c r="U357" s="294"/>
    </row>
    <row r="358" spans="1:21" s="267" customFormat="1" ht="75" x14ac:dyDescent="0.3">
      <c r="A358" s="174">
        <v>4</v>
      </c>
      <c r="B358" s="284" t="s">
        <v>298</v>
      </c>
      <c r="C358" s="257"/>
      <c r="D358" s="257"/>
      <c r="E358" s="257"/>
      <c r="F358" s="257"/>
      <c r="G358" s="257"/>
      <c r="H358" s="270"/>
      <c r="I358" s="222"/>
      <c r="J358" s="270"/>
      <c r="K358" s="271"/>
      <c r="L358" s="272"/>
      <c r="M358" s="138"/>
      <c r="N358" s="172"/>
      <c r="O358" s="273">
        <f>29434.74*1.04*0+34236.018</f>
        <v>34236.017999999996</v>
      </c>
      <c r="P358" s="273"/>
      <c r="Q358" s="273">
        <f t="shared" si="76"/>
        <v>35605.458719999995</v>
      </c>
      <c r="R358" s="213">
        <f t="shared" si="77"/>
        <v>69841.476719999991</v>
      </c>
      <c r="S358" s="273"/>
      <c r="T358" s="274"/>
      <c r="U358" s="294"/>
    </row>
    <row r="359" spans="1:21" s="267" customFormat="1" ht="84.75" customHeight="1" x14ac:dyDescent="0.3">
      <c r="A359" s="174">
        <v>5</v>
      </c>
      <c r="B359" s="284" t="s">
        <v>299</v>
      </c>
      <c r="C359" s="199"/>
      <c r="D359" s="199"/>
      <c r="E359" s="199"/>
      <c r="F359" s="199"/>
      <c r="G359" s="199"/>
      <c r="H359" s="209"/>
      <c r="I359" s="174"/>
      <c r="J359" s="209"/>
      <c r="K359" s="210"/>
      <c r="L359" s="216"/>
      <c r="M359" s="138"/>
      <c r="N359" s="184"/>
      <c r="O359" s="213">
        <f>32964.11*1.04*0+62786.38</f>
        <v>62786.38</v>
      </c>
      <c r="P359" s="213"/>
      <c r="Q359" s="213">
        <f t="shared" si="76"/>
        <v>65297.835200000001</v>
      </c>
      <c r="R359" s="213">
        <f t="shared" si="77"/>
        <v>128084.21520000001</v>
      </c>
      <c r="S359" s="213"/>
      <c r="T359" s="214"/>
      <c r="U359" s="294"/>
    </row>
    <row r="360" spans="1:21" s="267" customFormat="1" ht="66.599999999999994" customHeight="1" x14ac:dyDescent="0.3">
      <c r="A360" s="222">
        <v>6</v>
      </c>
      <c r="B360" s="284" t="s">
        <v>300</v>
      </c>
      <c r="C360" s="257"/>
      <c r="D360" s="257"/>
      <c r="E360" s="257"/>
      <c r="F360" s="257"/>
      <c r="G360" s="257"/>
      <c r="H360" s="270"/>
      <c r="I360" s="222"/>
      <c r="J360" s="270"/>
      <c r="K360" s="271"/>
      <c r="L360" s="272"/>
      <c r="M360" s="138"/>
      <c r="N360" s="172"/>
      <c r="O360" s="273">
        <f>40000*0+94943.761</f>
        <v>94943.760999999999</v>
      </c>
      <c r="P360" s="273"/>
      <c r="Q360" s="273">
        <f>O360*1.04</f>
        <v>98741.511440000002</v>
      </c>
      <c r="R360" s="213">
        <f t="shared" si="77"/>
        <v>193685.27244</v>
      </c>
      <c r="S360" s="273"/>
      <c r="T360" s="274"/>
      <c r="U360" s="294"/>
    </row>
    <row r="361" spans="1:21" s="267" customFormat="1" ht="102" customHeight="1" x14ac:dyDescent="0.3">
      <c r="A361" s="222">
        <v>7</v>
      </c>
      <c r="B361" s="284" t="s">
        <v>301</v>
      </c>
      <c r="C361" s="257"/>
      <c r="D361" s="257"/>
      <c r="E361" s="257"/>
      <c r="F361" s="257"/>
      <c r="G361" s="257"/>
      <c r="H361" s="270"/>
      <c r="I361" s="222"/>
      <c r="J361" s="270"/>
      <c r="K361" s="271"/>
      <c r="L361" s="272"/>
      <c r="M361" s="288">
        <v>33027.980000000003</v>
      </c>
      <c r="N361" s="172"/>
      <c r="O361" s="273">
        <f t="shared" ref="O361:O363" si="78">M361*1.04</f>
        <v>34349.099200000004</v>
      </c>
      <c r="P361" s="273"/>
      <c r="Q361" s="273">
        <f t="shared" si="76"/>
        <v>35723.063168000008</v>
      </c>
      <c r="R361" s="273">
        <f t="shared" ref="R361:R369" si="79">M361+O361+Q361</f>
        <v>103100.14236800002</v>
      </c>
      <c r="S361" s="273"/>
      <c r="T361" s="274"/>
    </row>
    <row r="362" spans="1:21" s="267" customFormat="1" ht="81.599999999999994" customHeight="1" x14ac:dyDescent="0.3">
      <c r="A362" s="174">
        <v>8</v>
      </c>
      <c r="B362" s="284" t="s">
        <v>320</v>
      </c>
      <c r="C362" s="257"/>
      <c r="D362" s="257"/>
      <c r="E362" s="257"/>
      <c r="F362" s="257"/>
      <c r="G362" s="257"/>
      <c r="H362" s="270"/>
      <c r="I362" s="222"/>
      <c r="J362" s="270"/>
      <c r="K362" s="271"/>
      <c r="L362" s="272"/>
      <c r="M362" s="295">
        <v>13782.04</v>
      </c>
      <c r="N362" s="172"/>
      <c r="O362" s="273">
        <f t="shared" si="78"/>
        <v>14333.321600000001</v>
      </c>
      <c r="P362" s="273"/>
      <c r="Q362" s="273">
        <f t="shared" si="76"/>
        <v>14906.654464000001</v>
      </c>
      <c r="R362" s="273">
        <f t="shared" si="79"/>
        <v>43022.016064000003</v>
      </c>
      <c r="S362" s="273"/>
      <c r="T362" s="274"/>
    </row>
    <row r="363" spans="1:21" s="267" customFormat="1" ht="79.900000000000006" customHeight="1" x14ac:dyDescent="0.3">
      <c r="A363" s="222">
        <v>9</v>
      </c>
      <c r="B363" s="284" t="s">
        <v>302</v>
      </c>
      <c r="C363" s="257"/>
      <c r="D363" s="257"/>
      <c r="E363" s="257"/>
      <c r="F363" s="257"/>
      <c r="G363" s="257"/>
      <c r="H363" s="270"/>
      <c r="I363" s="222"/>
      <c r="J363" s="270"/>
      <c r="K363" s="271"/>
      <c r="L363" s="272"/>
      <c r="M363" s="288">
        <v>17000</v>
      </c>
      <c r="N363" s="172"/>
      <c r="O363" s="273">
        <f t="shared" si="78"/>
        <v>17680</v>
      </c>
      <c r="P363" s="273"/>
      <c r="Q363" s="273">
        <f t="shared" si="76"/>
        <v>18387.2</v>
      </c>
      <c r="R363" s="273">
        <f t="shared" si="79"/>
        <v>53067.199999999997</v>
      </c>
      <c r="S363" s="273"/>
      <c r="T363" s="274"/>
    </row>
    <row r="364" spans="1:21" s="267" customFormat="1" ht="53.45" customHeight="1" x14ac:dyDescent="0.3">
      <c r="A364" s="222">
        <v>10</v>
      </c>
      <c r="B364" s="290" t="s">
        <v>303</v>
      </c>
      <c r="C364" s="257"/>
      <c r="D364" s="257"/>
      <c r="E364" s="257"/>
      <c r="F364" s="257"/>
      <c r="G364" s="257"/>
      <c r="H364" s="270"/>
      <c r="I364" s="222"/>
      <c r="J364" s="270"/>
      <c r="K364" s="271"/>
      <c r="L364" s="272"/>
      <c r="M364" s="291">
        <v>30000</v>
      </c>
      <c r="N364" s="172"/>
      <c r="O364" s="273">
        <v>30000</v>
      </c>
      <c r="P364" s="273"/>
      <c r="Q364" s="273">
        <v>30000</v>
      </c>
      <c r="R364" s="273">
        <f t="shared" si="79"/>
        <v>90000</v>
      </c>
      <c r="S364" s="273"/>
      <c r="T364" s="274"/>
    </row>
    <row r="365" spans="1:21" s="267" customFormat="1" ht="43.9" customHeight="1" x14ac:dyDescent="0.3">
      <c r="A365" s="174">
        <v>11</v>
      </c>
      <c r="B365" s="290" t="s">
        <v>304</v>
      </c>
      <c r="C365" s="257"/>
      <c r="D365" s="257"/>
      <c r="E365" s="257"/>
      <c r="F365" s="257"/>
      <c r="G365" s="257"/>
      <c r="H365" s="270"/>
      <c r="I365" s="222"/>
      <c r="J365" s="270"/>
      <c r="K365" s="271"/>
      <c r="L365" s="272"/>
      <c r="M365" s="291">
        <v>750</v>
      </c>
      <c r="N365" s="172"/>
      <c r="O365" s="273">
        <f>M365*1.04</f>
        <v>780</v>
      </c>
      <c r="P365" s="273"/>
      <c r="Q365" s="273">
        <f t="shared" si="76"/>
        <v>811.2</v>
      </c>
      <c r="R365" s="273">
        <f t="shared" si="79"/>
        <v>2341.1999999999998</v>
      </c>
      <c r="S365" s="273"/>
      <c r="T365" s="274"/>
    </row>
    <row r="366" spans="1:21" s="267" customFormat="1" ht="43.15" customHeight="1" x14ac:dyDescent="0.3">
      <c r="A366" s="222">
        <v>12</v>
      </c>
      <c r="B366" s="290" t="s">
        <v>305</v>
      </c>
      <c r="C366" s="257"/>
      <c r="D366" s="257"/>
      <c r="E366" s="257"/>
      <c r="F366" s="257"/>
      <c r="G366" s="257"/>
      <c r="H366" s="270"/>
      <c r="I366" s="222"/>
      <c r="J366" s="270"/>
      <c r="K366" s="271"/>
      <c r="L366" s="272"/>
      <c r="M366" s="291">
        <v>47449.440000000002</v>
      </c>
      <c r="N366" s="172"/>
      <c r="O366" s="273">
        <v>26000</v>
      </c>
      <c r="P366" s="273"/>
      <c r="Q366" s="273">
        <v>29120</v>
      </c>
      <c r="R366" s="273">
        <f t="shared" si="79"/>
        <v>102569.44</v>
      </c>
      <c r="S366" s="273"/>
      <c r="T366" s="274"/>
    </row>
    <row r="367" spans="1:21" s="267" customFormat="1" ht="58.9" customHeight="1" x14ac:dyDescent="0.3">
      <c r="A367" s="222">
        <v>13</v>
      </c>
      <c r="B367" s="290" t="s">
        <v>306</v>
      </c>
      <c r="C367" s="257"/>
      <c r="D367" s="257"/>
      <c r="E367" s="257"/>
      <c r="F367" s="257"/>
      <c r="G367" s="257"/>
      <c r="H367" s="270"/>
      <c r="I367" s="222"/>
      <c r="J367" s="270"/>
      <c r="K367" s="271"/>
      <c r="L367" s="272"/>
      <c r="M367" s="291">
        <v>75000</v>
      </c>
      <c r="N367" s="172"/>
      <c r="O367" s="273">
        <v>75000</v>
      </c>
      <c r="P367" s="273"/>
      <c r="Q367" s="273"/>
      <c r="R367" s="273">
        <f t="shared" si="79"/>
        <v>150000</v>
      </c>
      <c r="S367" s="273"/>
      <c r="T367" s="274"/>
    </row>
    <row r="368" spans="1:21" s="267" customFormat="1" ht="44.25" customHeight="1" x14ac:dyDescent="0.3">
      <c r="A368" s="275">
        <v>14</v>
      </c>
      <c r="B368" s="296" t="s">
        <v>307</v>
      </c>
      <c r="C368" s="297"/>
      <c r="D368" s="297"/>
      <c r="E368" s="297"/>
      <c r="F368" s="297"/>
      <c r="G368" s="297"/>
      <c r="H368" s="298"/>
      <c r="I368" s="299"/>
      <c r="J368" s="298"/>
      <c r="K368" s="300"/>
      <c r="L368" s="301"/>
      <c r="M368" s="302">
        <f>30000*0</f>
        <v>0</v>
      </c>
      <c r="N368" s="303"/>
      <c r="O368" s="304">
        <f>M368*1.04</f>
        <v>0</v>
      </c>
      <c r="P368" s="304"/>
      <c r="Q368" s="304">
        <f t="shared" si="76"/>
        <v>0</v>
      </c>
      <c r="R368" s="304">
        <f t="shared" si="79"/>
        <v>0</v>
      </c>
      <c r="S368" s="304"/>
      <c r="T368" s="305"/>
    </row>
    <row r="369" spans="1:20" s="267" customFormat="1" ht="33" customHeight="1" x14ac:dyDescent="0.3">
      <c r="A369" s="174">
        <v>15</v>
      </c>
      <c r="B369" s="290" t="s">
        <v>308</v>
      </c>
      <c r="C369" s="199"/>
      <c r="D369" s="199"/>
      <c r="E369" s="199"/>
      <c r="F369" s="199"/>
      <c r="G369" s="199"/>
      <c r="H369" s="209"/>
      <c r="I369" s="174"/>
      <c r="J369" s="209"/>
      <c r="K369" s="210"/>
      <c r="L369" s="216"/>
      <c r="M369" s="291">
        <v>4800</v>
      </c>
      <c r="N369" s="184"/>
      <c r="O369" s="213">
        <f>M369*1.04</f>
        <v>4992</v>
      </c>
      <c r="P369" s="213"/>
      <c r="Q369" s="213">
        <f>O369*1.04</f>
        <v>5191.68</v>
      </c>
      <c r="R369" s="213">
        <f t="shared" si="79"/>
        <v>14983.68</v>
      </c>
      <c r="S369" s="213"/>
      <c r="T369" s="214"/>
    </row>
    <row r="370" spans="1:20" ht="49.5" x14ac:dyDescent="0.25">
      <c r="A370" s="31"/>
      <c r="B370" s="32" t="s">
        <v>41</v>
      </c>
      <c r="C370" s="33"/>
      <c r="D370" s="33"/>
      <c r="E370" s="33"/>
      <c r="F370" s="33"/>
      <c r="G370" s="33"/>
      <c r="H370" s="33"/>
      <c r="I370" s="33"/>
      <c r="J370" s="33"/>
      <c r="K370" s="33"/>
      <c r="L370" s="131">
        <v>0</v>
      </c>
      <c r="M370" s="131">
        <v>0</v>
      </c>
      <c r="N370" s="131">
        <v>0</v>
      </c>
      <c r="O370" s="131">
        <v>0</v>
      </c>
      <c r="P370" s="131">
        <v>0</v>
      </c>
      <c r="Q370" s="131">
        <v>0</v>
      </c>
      <c r="R370" s="131">
        <v>0</v>
      </c>
      <c r="S370" s="131"/>
      <c r="T370" s="208"/>
    </row>
    <row r="371" spans="1:20" ht="101.25" customHeight="1" x14ac:dyDescent="0.2"/>
    <row r="372" spans="1:20" s="395" customFormat="1" ht="23.25" x14ac:dyDescent="0.35">
      <c r="A372" s="392" t="s">
        <v>309</v>
      </c>
      <c r="B372" s="393"/>
      <c r="C372" s="393"/>
      <c r="D372" s="393"/>
      <c r="F372" s="393"/>
      <c r="G372" s="393"/>
      <c r="H372" s="393"/>
      <c r="I372" s="393" t="s">
        <v>310</v>
      </c>
      <c r="J372" s="393"/>
      <c r="K372" s="393"/>
      <c r="L372" s="393"/>
      <c r="M372" s="393"/>
      <c r="N372" s="393"/>
      <c r="O372" s="393"/>
      <c r="P372" s="393"/>
      <c r="Q372" s="393"/>
      <c r="R372" s="393"/>
      <c r="S372" s="394"/>
      <c r="T372" s="394"/>
    </row>
  </sheetData>
  <autoFilter ref="A6:T294">
    <filterColumn colId="1">
      <customFilters>
        <customFilter operator="notEqual" val="*мост*"/>
      </customFilters>
    </filterColumn>
  </autoFilter>
  <mergeCells count="91">
    <mergeCell ref="I14:K15"/>
    <mergeCell ref="H14:H15"/>
    <mergeCell ref="A14:G18"/>
    <mergeCell ref="S7:S8"/>
    <mergeCell ref="T7:T8"/>
    <mergeCell ref="T9:T11"/>
    <mergeCell ref="S9:S11"/>
    <mergeCell ref="S14:S18"/>
    <mergeCell ref="T14:T18"/>
    <mergeCell ref="R7:R8"/>
    <mergeCell ref="A12:G12"/>
    <mergeCell ref="A13:G13"/>
    <mergeCell ref="A7:G8"/>
    <mergeCell ref="H7:H8"/>
    <mergeCell ref="I7:K8"/>
    <mergeCell ref="A9:G11"/>
    <mergeCell ref="H9:H11"/>
    <mergeCell ref="M7:M8"/>
    <mergeCell ref="O7:O8"/>
    <mergeCell ref="Q7:Q8"/>
    <mergeCell ref="A339:A342"/>
    <mergeCell ref="I339:K339"/>
    <mergeCell ref="I340:K340"/>
    <mergeCell ref="I341:K341"/>
    <mergeCell ref="I342:K342"/>
    <mergeCell ref="A245:A249"/>
    <mergeCell ref="I245:K245"/>
    <mergeCell ref="I246:K246"/>
    <mergeCell ref="I247:K247"/>
    <mergeCell ref="I248:K248"/>
    <mergeCell ref="I249:K249"/>
    <mergeCell ref="A91:A95"/>
    <mergeCell ref="I91:K91"/>
    <mergeCell ref="I92:K92"/>
    <mergeCell ref="I93:K93"/>
    <mergeCell ref="I94:K94"/>
    <mergeCell ref="I95:K95"/>
    <mergeCell ref="A117:A121"/>
    <mergeCell ref="I117:K117"/>
    <mergeCell ref="I118:K118"/>
    <mergeCell ref="I119:K119"/>
    <mergeCell ref="I120:K120"/>
    <mergeCell ref="I121:K121"/>
    <mergeCell ref="I61:K61"/>
    <mergeCell ref="I62:K62"/>
    <mergeCell ref="A3:A5"/>
    <mergeCell ref="B3:B5"/>
    <mergeCell ref="C3:C5"/>
    <mergeCell ref="D3:D5"/>
    <mergeCell ref="E3:E5"/>
    <mergeCell ref="A19:A23"/>
    <mergeCell ref="B19:G23"/>
    <mergeCell ref="I19:K19"/>
    <mergeCell ref="I22:K22"/>
    <mergeCell ref="I23:K23"/>
    <mergeCell ref="A58:A62"/>
    <mergeCell ref="B58:G62"/>
    <mergeCell ref="I58:K58"/>
    <mergeCell ref="I17:K17"/>
    <mergeCell ref="K3:K5"/>
    <mergeCell ref="P3:Q4"/>
    <mergeCell ref="R3:R4"/>
    <mergeCell ref="I59:K59"/>
    <mergeCell ref="I60:K60"/>
    <mergeCell ref="I18:K18"/>
    <mergeCell ref="I16:K16"/>
    <mergeCell ref="I9:K9"/>
    <mergeCell ref="I12:K12"/>
    <mergeCell ref="I13:K13"/>
    <mergeCell ref="I10:K10"/>
    <mergeCell ref="I11:K11"/>
    <mergeCell ref="M14:M15"/>
    <mergeCell ref="O14:O15"/>
    <mergeCell ref="Q14:Q15"/>
    <mergeCell ref="R14:R15"/>
    <mergeCell ref="A1:T1"/>
    <mergeCell ref="B91:G95"/>
    <mergeCell ref="B117:G121"/>
    <mergeCell ref="B245:G249"/>
    <mergeCell ref="B339:G342"/>
    <mergeCell ref="L3:M4"/>
    <mergeCell ref="N3:O4"/>
    <mergeCell ref="I20:K20"/>
    <mergeCell ref="I21:K21"/>
    <mergeCell ref="F3:F5"/>
    <mergeCell ref="G3:G5"/>
    <mergeCell ref="H3:H5"/>
    <mergeCell ref="I3:I5"/>
    <mergeCell ref="S3:S4"/>
    <mergeCell ref="T3:T5"/>
    <mergeCell ref="J3:J5"/>
  </mergeCells>
  <pageMargins left="0.39370078740157483" right="0.23622047244094491" top="0.55118110236220474" bottom="0.19685039370078741" header="0.31496062992125984" footer="0"/>
  <pageSetup paperSize="8" scale="52" fitToHeight="0" orientation="landscape" r:id="rId1"/>
  <headerFooter alignWithMargins="0">
    <oddFooter>&amp;R&amp;P</oddFooter>
  </headerFooter>
  <rowBreaks count="7" manualBreakCount="7">
    <brk id="57" max="19" man="1"/>
    <brk id="84" max="19" man="1"/>
    <brk id="137" max="19" man="1"/>
    <brk id="197" max="19" man="1"/>
    <brk id="256" max="19" man="1"/>
    <brk id="279" max="19" man="1"/>
    <brk id="338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C1:M23"/>
  <sheetViews>
    <sheetView tabSelected="1" topLeftCell="C1" zoomScaleNormal="100" zoomScaleSheetLayoutView="100" workbookViewId="0">
      <selection activeCell="C3" sqref="C3:K3"/>
    </sheetView>
  </sheetViews>
  <sheetFormatPr defaultRowHeight="12.75" x14ac:dyDescent="0.2"/>
  <cols>
    <col min="1" max="2" width="0" hidden="1" customWidth="1"/>
    <col min="3" max="3" width="6.85546875" customWidth="1"/>
    <col min="4" max="4" width="62.42578125" customWidth="1"/>
    <col min="5" max="5" width="14" bestFit="1" customWidth="1"/>
    <col min="6" max="6" width="16" customWidth="1"/>
    <col min="7" max="7" width="16" style="851" customWidth="1"/>
    <col min="8" max="8" width="17.42578125" style="842" customWidth="1"/>
    <col min="9" max="9" width="19.85546875" style="842" bestFit="1" customWidth="1"/>
    <col min="10" max="11" width="26.140625" customWidth="1"/>
    <col min="13" max="13" width="12.85546875" bestFit="1" customWidth="1"/>
  </cols>
  <sheetData>
    <row r="1" spans="3:13" ht="15.75" x14ac:dyDescent="0.25">
      <c r="C1" s="1099" t="s">
        <v>519</v>
      </c>
      <c r="D1" s="1099"/>
      <c r="E1" s="1099"/>
      <c r="F1" s="1099"/>
      <c r="G1" s="1099"/>
      <c r="H1" s="1099"/>
      <c r="I1" s="1099"/>
      <c r="J1" s="1099"/>
      <c r="K1" s="1099"/>
    </row>
    <row r="2" spans="3:13" ht="15.75" x14ac:dyDescent="0.2">
      <c r="C2" s="1100" t="s">
        <v>522</v>
      </c>
      <c r="D2" s="1101"/>
      <c r="E2" s="1101"/>
      <c r="F2" s="1101"/>
      <c r="G2" s="1101"/>
      <c r="H2" s="1101"/>
      <c r="I2" s="1101"/>
      <c r="J2" s="1101"/>
      <c r="K2" s="1101"/>
    </row>
    <row r="3" spans="3:13" ht="15.75" x14ac:dyDescent="0.2">
      <c r="C3" s="1102" t="s">
        <v>520</v>
      </c>
      <c r="D3" s="1102"/>
      <c r="E3" s="1102"/>
      <c r="F3" s="1102"/>
      <c r="G3" s="1102"/>
      <c r="H3" s="1102"/>
      <c r="I3" s="1102"/>
      <c r="J3" s="1102"/>
      <c r="K3" s="1102"/>
    </row>
    <row r="4" spans="3:13" ht="34.5" customHeight="1" x14ac:dyDescent="0.2">
      <c r="C4" s="1103" t="s">
        <v>515</v>
      </c>
      <c r="D4" s="1102"/>
      <c r="E4" s="1102"/>
      <c r="F4" s="1102"/>
      <c r="G4" s="1102"/>
      <c r="H4" s="1102"/>
      <c r="I4" s="1102"/>
      <c r="J4" s="1102"/>
      <c r="K4" s="1102"/>
    </row>
    <row r="5" spans="3:13" ht="15.75" customHeight="1" x14ac:dyDescent="0.2">
      <c r="C5" s="1008" t="s">
        <v>353</v>
      </c>
      <c r="D5" s="1009" t="s">
        <v>354</v>
      </c>
      <c r="E5" s="1010" t="s">
        <v>355</v>
      </c>
      <c r="F5" s="1010"/>
      <c r="G5" s="1013" t="s">
        <v>505</v>
      </c>
      <c r="H5" s="1014"/>
      <c r="I5" s="1015"/>
      <c r="J5" s="1011" t="s">
        <v>356</v>
      </c>
      <c r="K5" s="1016" t="s">
        <v>507</v>
      </c>
    </row>
    <row r="6" spans="3:13" ht="47.25" x14ac:dyDescent="0.25">
      <c r="C6" s="1008"/>
      <c r="D6" s="1009"/>
      <c r="E6" s="838" t="s">
        <v>357</v>
      </c>
      <c r="F6" s="838" t="s">
        <v>358</v>
      </c>
      <c r="G6" s="848" t="s">
        <v>506</v>
      </c>
      <c r="H6" s="843" t="s">
        <v>401</v>
      </c>
      <c r="I6" s="843" t="s">
        <v>504</v>
      </c>
      <c r="J6" s="1012"/>
      <c r="K6" s="1010"/>
    </row>
    <row r="7" spans="3:13" ht="14.25" customHeight="1" x14ac:dyDescent="0.25">
      <c r="C7" s="838" t="s">
        <v>349</v>
      </c>
      <c r="D7" s="838" t="s">
        <v>350</v>
      </c>
      <c r="E7" s="838" t="s">
        <v>351</v>
      </c>
      <c r="F7" s="838" t="s">
        <v>352</v>
      </c>
      <c r="G7" s="849"/>
      <c r="H7" s="844" t="s">
        <v>501</v>
      </c>
      <c r="I7" s="844" t="s">
        <v>502</v>
      </c>
      <c r="J7" s="838" t="s">
        <v>503</v>
      </c>
      <c r="K7" s="838"/>
    </row>
    <row r="8" spans="3:13" s="1087" customFormat="1" ht="22.5" customHeight="1" x14ac:dyDescent="0.2">
      <c r="C8" s="1088" t="s">
        <v>517</v>
      </c>
      <c r="D8" s="1089"/>
      <c r="E8" s="1089"/>
      <c r="F8" s="1090"/>
      <c r="G8" s="1091"/>
      <c r="H8" s="1091"/>
      <c r="I8" s="1091"/>
      <c r="J8" s="1091"/>
      <c r="K8" s="1091"/>
    </row>
    <row r="9" spans="3:13" s="1087" customFormat="1" ht="56.25" customHeight="1" x14ac:dyDescent="0.2">
      <c r="C9" s="857">
        <v>1</v>
      </c>
      <c r="D9" s="495" t="s">
        <v>516</v>
      </c>
      <c r="E9" s="856"/>
      <c r="F9" s="836">
        <v>2695</v>
      </c>
      <c r="G9" s="850">
        <v>195</v>
      </c>
      <c r="H9" s="845">
        <v>44375</v>
      </c>
      <c r="I9" s="845">
        <v>44499</v>
      </c>
      <c r="J9" s="1092">
        <v>7059.1379999999999</v>
      </c>
      <c r="K9" s="853" t="s">
        <v>508</v>
      </c>
    </row>
    <row r="10" spans="3:13" s="1087" customFormat="1" ht="23.25" customHeight="1" x14ac:dyDescent="0.2">
      <c r="C10" s="1088" t="s">
        <v>518</v>
      </c>
      <c r="D10" s="1089"/>
      <c r="E10" s="1089"/>
      <c r="F10" s="1090"/>
      <c r="G10" s="1095"/>
      <c r="H10" s="1096"/>
      <c r="I10" s="1096"/>
      <c r="J10" s="1097"/>
      <c r="K10" s="1098"/>
    </row>
    <row r="11" spans="3:13" ht="31.5" x14ac:dyDescent="0.2">
      <c r="C11" s="835">
        <v>1</v>
      </c>
      <c r="D11" s="490" t="s">
        <v>494</v>
      </c>
      <c r="E11" s="832">
        <v>4.82</v>
      </c>
      <c r="F11" s="490"/>
      <c r="G11" s="850">
        <v>90</v>
      </c>
      <c r="H11" s="845">
        <v>44267</v>
      </c>
      <c r="I11" s="845">
        <v>44433</v>
      </c>
      <c r="J11" s="1093">
        <v>74924.300719999999</v>
      </c>
      <c r="K11" s="492" t="s">
        <v>511</v>
      </c>
    </row>
    <row r="12" spans="3:13" ht="35.25" customHeight="1" x14ac:dyDescent="0.2">
      <c r="C12" s="835">
        <v>2</v>
      </c>
      <c r="D12" s="490" t="s">
        <v>119</v>
      </c>
      <c r="E12" s="493">
        <v>7.3550000000000004</v>
      </c>
      <c r="F12" s="490"/>
      <c r="G12" s="850">
        <v>101</v>
      </c>
      <c r="H12" s="845">
        <v>44290</v>
      </c>
      <c r="I12" s="845">
        <v>44469</v>
      </c>
      <c r="J12" s="1094">
        <v>101220.658</v>
      </c>
      <c r="K12" s="839" t="s">
        <v>512</v>
      </c>
    </row>
    <row r="13" spans="3:13" ht="31.5" x14ac:dyDescent="0.2">
      <c r="C13" s="854">
        <v>3</v>
      </c>
      <c r="D13" s="495" t="s">
        <v>495</v>
      </c>
      <c r="E13" s="491">
        <v>7</v>
      </c>
      <c r="F13" s="490"/>
      <c r="G13" s="850">
        <v>95</v>
      </c>
      <c r="H13" s="845">
        <v>44270</v>
      </c>
      <c r="I13" s="845">
        <v>44469</v>
      </c>
      <c r="J13" s="1092">
        <v>59844.368000000002</v>
      </c>
      <c r="K13" s="494" t="s">
        <v>512</v>
      </c>
    </row>
    <row r="14" spans="3:13" ht="31.5" x14ac:dyDescent="0.2">
      <c r="C14" s="854">
        <v>4</v>
      </c>
      <c r="D14" s="495" t="s">
        <v>498</v>
      </c>
      <c r="E14" s="491">
        <v>2.2999999999999998</v>
      </c>
      <c r="F14" s="490"/>
      <c r="G14" s="850">
        <v>102</v>
      </c>
      <c r="H14" s="845">
        <v>44290</v>
      </c>
      <c r="I14" s="845">
        <v>44469</v>
      </c>
      <c r="J14" s="834">
        <v>91772.866250000006</v>
      </c>
      <c r="K14" s="834" t="s">
        <v>513</v>
      </c>
      <c r="M14" s="831"/>
    </row>
    <row r="15" spans="3:13" ht="31.5" x14ac:dyDescent="0.2">
      <c r="C15" s="854">
        <v>5</v>
      </c>
      <c r="D15" s="833" t="s">
        <v>496</v>
      </c>
      <c r="E15" s="491">
        <v>2</v>
      </c>
      <c r="F15" s="490"/>
      <c r="G15" s="850">
        <v>144</v>
      </c>
      <c r="H15" s="845">
        <v>44323</v>
      </c>
      <c r="I15" s="845">
        <v>44439</v>
      </c>
      <c r="J15" s="1092">
        <v>19086.012030000002</v>
      </c>
      <c r="K15" s="494" t="s">
        <v>514</v>
      </c>
      <c r="M15" s="831"/>
    </row>
    <row r="16" spans="3:13" ht="31.5" x14ac:dyDescent="0.2">
      <c r="C16" s="854">
        <v>6</v>
      </c>
      <c r="D16" s="495" t="s">
        <v>497</v>
      </c>
      <c r="E16" s="837">
        <v>1.8440000000000001</v>
      </c>
      <c r="F16" s="490"/>
      <c r="G16" s="850">
        <v>129</v>
      </c>
      <c r="H16" s="845">
        <v>44322</v>
      </c>
      <c r="I16" s="845">
        <v>44469</v>
      </c>
      <c r="J16" s="1092">
        <v>81356.22</v>
      </c>
      <c r="K16" s="494" t="s">
        <v>510</v>
      </c>
    </row>
    <row r="17" spans="3:13" ht="31.5" x14ac:dyDescent="0.2">
      <c r="C17" s="854">
        <v>7</v>
      </c>
      <c r="D17" s="495" t="s">
        <v>499</v>
      </c>
      <c r="E17" s="837">
        <v>3.1</v>
      </c>
      <c r="F17" s="490"/>
      <c r="G17" s="850">
        <v>184</v>
      </c>
      <c r="H17" s="845">
        <v>44362</v>
      </c>
      <c r="I17" s="845">
        <v>44469</v>
      </c>
      <c r="J17" s="1092">
        <v>29245.317920000001</v>
      </c>
      <c r="K17" s="494" t="s">
        <v>509</v>
      </c>
      <c r="M17" s="831"/>
    </row>
    <row r="18" spans="3:13" ht="15.75" x14ac:dyDescent="0.25">
      <c r="C18" s="840"/>
      <c r="D18" s="1104" t="s">
        <v>521</v>
      </c>
      <c r="E18" s="841">
        <f>E11+E12+E13+E14+E15+E16+E17</f>
        <v>28.419000000000004</v>
      </c>
      <c r="F18" s="836">
        <v>2695</v>
      </c>
      <c r="G18" s="850"/>
      <c r="H18" s="845"/>
      <c r="I18" s="845"/>
      <c r="J18" s="497">
        <f>J9+SUM(J11:J17)</f>
        <v>464508.88092000003</v>
      </c>
      <c r="K18" s="497"/>
      <c r="M18" s="831"/>
    </row>
    <row r="19" spans="3:13" ht="15" x14ac:dyDescent="0.2">
      <c r="C19" s="496"/>
      <c r="D19" s="496"/>
      <c r="E19" s="496"/>
      <c r="F19" s="496"/>
      <c r="G19" s="852"/>
      <c r="H19" s="846"/>
      <c r="I19" s="846"/>
      <c r="J19" s="496"/>
      <c r="K19" s="496"/>
      <c r="M19" s="855"/>
    </row>
    <row r="20" spans="3:13" ht="63.75" customHeight="1" x14ac:dyDescent="0.25">
      <c r="C20" s="498"/>
      <c r="D20" s="499"/>
      <c r="E20" s="498"/>
      <c r="F20" s="498"/>
      <c r="G20" s="852"/>
      <c r="H20" s="847"/>
      <c r="I20" s="847"/>
      <c r="J20" s="498"/>
      <c r="K20" s="498"/>
      <c r="M20" s="830"/>
    </row>
    <row r="23" spans="3:13" hidden="1" x14ac:dyDescent="0.2">
      <c r="D23" t="s">
        <v>500</v>
      </c>
    </row>
  </sheetData>
  <mergeCells count="12">
    <mergeCell ref="C8:F8"/>
    <mergeCell ref="C10:F10"/>
    <mergeCell ref="C2:K2"/>
    <mergeCell ref="C3:K3"/>
    <mergeCell ref="C4:K4"/>
    <mergeCell ref="C5:C6"/>
    <mergeCell ref="D5:D6"/>
    <mergeCell ref="E5:F5"/>
    <mergeCell ref="J5:J6"/>
    <mergeCell ref="C1:K1"/>
    <mergeCell ref="G5:I5"/>
    <mergeCell ref="K5:K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0" orientation="landscape" r:id="rId1"/>
  <ignoredErrors>
    <ignoredError sqref="C7:F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  <pageSetUpPr fitToPage="1"/>
  </sheetPr>
  <dimension ref="A1:Q32"/>
  <sheetViews>
    <sheetView view="pageBreakPreview" zoomScale="75" zoomScaleNormal="55" zoomScaleSheetLayoutView="75" zoomScalePageLayoutView="55" workbookViewId="0">
      <selection activeCell="B15" sqref="B15"/>
    </sheetView>
  </sheetViews>
  <sheetFormatPr defaultColWidth="9.28515625" defaultRowHeight="12.75" x14ac:dyDescent="0.2"/>
  <cols>
    <col min="1" max="1" width="6.85546875" style="542" customWidth="1"/>
    <col min="2" max="2" width="62.42578125" style="543" customWidth="1"/>
    <col min="3" max="3" width="29.7109375" style="543" customWidth="1"/>
    <col min="4" max="4" width="12.7109375" style="543" customWidth="1"/>
    <col min="5" max="5" width="9.42578125" style="543" customWidth="1"/>
    <col min="6" max="6" width="14.140625" style="543" customWidth="1"/>
    <col min="7" max="7" width="15.42578125" style="543" customWidth="1"/>
    <col min="8" max="8" width="20.42578125" style="543" customWidth="1"/>
    <col min="9" max="9" width="16.28515625" style="543" customWidth="1"/>
    <col min="10" max="10" width="19.42578125" style="543" customWidth="1"/>
    <col min="11" max="11" width="16.28515625" style="543" customWidth="1"/>
    <col min="12" max="12" width="21.85546875" style="543" customWidth="1"/>
    <col min="13" max="13" width="23.28515625" style="543" customWidth="1"/>
    <col min="14" max="14" width="20.42578125" style="544" customWidth="1"/>
    <col min="15" max="15" width="22.28515625" style="544" customWidth="1"/>
    <col min="16" max="16" width="16.5703125" style="281" bestFit="1" customWidth="1"/>
    <col min="17" max="256" width="9.28515625" style="281"/>
    <col min="257" max="257" width="6.85546875" style="281" customWidth="1"/>
    <col min="258" max="258" width="62.42578125" style="281" customWidth="1"/>
    <col min="259" max="259" width="29.7109375" style="281" customWidth="1"/>
    <col min="260" max="260" width="12.7109375" style="281" customWidth="1"/>
    <col min="261" max="261" width="9.42578125" style="281" customWidth="1"/>
    <col min="262" max="262" width="14.140625" style="281" customWidth="1"/>
    <col min="263" max="263" width="15.42578125" style="281" customWidth="1"/>
    <col min="264" max="264" width="20.42578125" style="281" customWidth="1"/>
    <col min="265" max="265" width="16.28515625" style="281" customWidth="1"/>
    <col min="266" max="266" width="19.42578125" style="281" customWidth="1"/>
    <col min="267" max="267" width="16.28515625" style="281" customWidth="1"/>
    <col min="268" max="268" width="21.85546875" style="281" customWidth="1"/>
    <col min="269" max="269" width="23.28515625" style="281" customWidth="1"/>
    <col min="270" max="270" width="20.42578125" style="281" customWidth="1"/>
    <col min="271" max="271" width="22.28515625" style="281" customWidth="1"/>
    <col min="272" max="272" width="16.5703125" style="281" bestFit="1" customWidth="1"/>
    <col min="273" max="512" width="9.28515625" style="281"/>
    <col min="513" max="513" width="6.85546875" style="281" customWidth="1"/>
    <col min="514" max="514" width="62.42578125" style="281" customWidth="1"/>
    <col min="515" max="515" width="29.7109375" style="281" customWidth="1"/>
    <col min="516" max="516" width="12.7109375" style="281" customWidth="1"/>
    <col min="517" max="517" width="9.42578125" style="281" customWidth="1"/>
    <col min="518" max="518" width="14.140625" style="281" customWidth="1"/>
    <col min="519" max="519" width="15.42578125" style="281" customWidth="1"/>
    <col min="520" max="520" width="20.42578125" style="281" customWidth="1"/>
    <col min="521" max="521" width="16.28515625" style="281" customWidth="1"/>
    <col min="522" max="522" width="19.42578125" style="281" customWidth="1"/>
    <col min="523" max="523" width="16.28515625" style="281" customWidth="1"/>
    <col min="524" max="524" width="21.85546875" style="281" customWidth="1"/>
    <col min="525" max="525" width="23.28515625" style="281" customWidth="1"/>
    <col min="526" max="526" width="20.42578125" style="281" customWidth="1"/>
    <col min="527" max="527" width="22.28515625" style="281" customWidth="1"/>
    <col min="528" max="528" width="16.5703125" style="281" bestFit="1" customWidth="1"/>
    <col min="529" max="768" width="9.28515625" style="281"/>
    <col min="769" max="769" width="6.85546875" style="281" customWidth="1"/>
    <col min="770" max="770" width="62.42578125" style="281" customWidth="1"/>
    <col min="771" max="771" width="29.7109375" style="281" customWidth="1"/>
    <col min="772" max="772" width="12.7109375" style="281" customWidth="1"/>
    <col min="773" max="773" width="9.42578125" style="281" customWidth="1"/>
    <col min="774" max="774" width="14.140625" style="281" customWidth="1"/>
    <col min="775" max="775" width="15.42578125" style="281" customWidth="1"/>
    <col min="776" max="776" width="20.42578125" style="281" customWidth="1"/>
    <col min="777" max="777" width="16.28515625" style="281" customWidth="1"/>
    <col min="778" max="778" width="19.42578125" style="281" customWidth="1"/>
    <col min="779" max="779" width="16.28515625" style="281" customWidth="1"/>
    <col min="780" max="780" width="21.85546875" style="281" customWidth="1"/>
    <col min="781" max="781" width="23.28515625" style="281" customWidth="1"/>
    <col min="782" max="782" width="20.42578125" style="281" customWidth="1"/>
    <col min="783" max="783" width="22.28515625" style="281" customWidth="1"/>
    <col min="784" max="784" width="16.5703125" style="281" bestFit="1" customWidth="1"/>
    <col min="785" max="1024" width="9.28515625" style="281"/>
    <col min="1025" max="1025" width="6.85546875" style="281" customWidth="1"/>
    <col min="1026" max="1026" width="62.42578125" style="281" customWidth="1"/>
    <col min="1027" max="1027" width="29.7109375" style="281" customWidth="1"/>
    <col min="1028" max="1028" width="12.7109375" style="281" customWidth="1"/>
    <col min="1029" max="1029" width="9.42578125" style="281" customWidth="1"/>
    <col min="1030" max="1030" width="14.140625" style="281" customWidth="1"/>
    <col min="1031" max="1031" width="15.42578125" style="281" customWidth="1"/>
    <col min="1032" max="1032" width="20.42578125" style="281" customWidth="1"/>
    <col min="1033" max="1033" width="16.28515625" style="281" customWidth="1"/>
    <col min="1034" max="1034" width="19.42578125" style="281" customWidth="1"/>
    <col min="1035" max="1035" width="16.28515625" style="281" customWidth="1"/>
    <col min="1036" max="1036" width="21.85546875" style="281" customWidth="1"/>
    <col min="1037" max="1037" width="23.28515625" style="281" customWidth="1"/>
    <col min="1038" max="1038" width="20.42578125" style="281" customWidth="1"/>
    <col min="1039" max="1039" width="22.28515625" style="281" customWidth="1"/>
    <col min="1040" max="1040" width="16.5703125" style="281" bestFit="1" customWidth="1"/>
    <col min="1041" max="1280" width="9.28515625" style="281"/>
    <col min="1281" max="1281" width="6.85546875" style="281" customWidth="1"/>
    <col min="1282" max="1282" width="62.42578125" style="281" customWidth="1"/>
    <col min="1283" max="1283" width="29.7109375" style="281" customWidth="1"/>
    <col min="1284" max="1284" width="12.7109375" style="281" customWidth="1"/>
    <col min="1285" max="1285" width="9.42578125" style="281" customWidth="1"/>
    <col min="1286" max="1286" width="14.140625" style="281" customWidth="1"/>
    <col min="1287" max="1287" width="15.42578125" style="281" customWidth="1"/>
    <col min="1288" max="1288" width="20.42578125" style="281" customWidth="1"/>
    <col min="1289" max="1289" width="16.28515625" style="281" customWidth="1"/>
    <col min="1290" max="1290" width="19.42578125" style="281" customWidth="1"/>
    <col min="1291" max="1291" width="16.28515625" style="281" customWidth="1"/>
    <col min="1292" max="1292" width="21.85546875" style="281" customWidth="1"/>
    <col min="1293" max="1293" width="23.28515625" style="281" customWidth="1"/>
    <col min="1294" max="1294" width="20.42578125" style="281" customWidth="1"/>
    <col min="1295" max="1295" width="22.28515625" style="281" customWidth="1"/>
    <col min="1296" max="1296" width="16.5703125" style="281" bestFit="1" customWidth="1"/>
    <col min="1297" max="1536" width="9.28515625" style="281"/>
    <col min="1537" max="1537" width="6.85546875" style="281" customWidth="1"/>
    <col min="1538" max="1538" width="62.42578125" style="281" customWidth="1"/>
    <col min="1539" max="1539" width="29.7109375" style="281" customWidth="1"/>
    <col min="1540" max="1540" width="12.7109375" style="281" customWidth="1"/>
    <col min="1541" max="1541" width="9.42578125" style="281" customWidth="1"/>
    <col min="1542" max="1542" width="14.140625" style="281" customWidth="1"/>
    <col min="1543" max="1543" width="15.42578125" style="281" customWidth="1"/>
    <col min="1544" max="1544" width="20.42578125" style="281" customWidth="1"/>
    <col min="1545" max="1545" width="16.28515625" style="281" customWidth="1"/>
    <col min="1546" max="1546" width="19.42578125" style="281" customWidth="1"/>
    <col min="1547" max="1547" width="16.28515625" style="281" customWidth="1"/>
    <col min="1548" max="1548" width="21.85546875" style="281" customWidth="1"/>
    <col min="1549" max="1549" width="23.28515625" style="281" customWidth="1"/>
    <col min="1550" max="1550" width="20.42578125" style="281" customWidth="1"/>
    <col min="1551" max="1551" width="22.28515625" style="281" customWidth="1"/>
    <col min="1552" max="1552" width="16.5703125" style="281" bestFit="1" customWidth="1"/>
    <col min="1553" max="1792" width="9.28515625" style="281"/>
    <col min="1793" max="1793" width="6.85546875" style="281" customWidth="1"/>
    <col min="1794" max="1794" width="62.42578125" style="281" customWidth="1"/>
    <col min="1795" max="1795" width="29.7109375" style="281" customWidth="1"/>
    <col min="1796" max="1796" width="12.7109375" style="281" customWidth="1"/>
    <col min="1797" max="1797" width="9.42578125" style="281" customWidth="1"/>
    <col min="1798" max="1798" width="14.140625" style="281" customWidth="1"/>
    <col min="1799" max="1799" width="15.42578125" style="281" customWidth="1"/>
    <col min="1800" max="1800" width="20.42578125" style="281" customWidth="1"/>
    <col min="1801" max="1801" width="16.28515625" style="281" customWidth="1"/>
    <col min="1802" max="1802" width="19.42578125" style="281" customWidth="1"/>
    <col min="1803" max="1803" width="16.28515625" style="281" customWidth="1"/>
    <col min="1804" max="1804" width="21.85546875" style="281" customWidth="1"/>
    <col min="1805" max="1805" width="23.28515625" style="281" customWidth="1"/>
    <col min="1806" max="1806" width="20.42578125" style="281" customWidth="1"/>
    <col min="1807" max="1807" width="22.28515625" style="281" customWidth="1"/>
    <col min="1808" max="1808" width="16.5703125" style="281" bestFit="1" customWidth="1"/>
    <col min="1809" max="2048" width="9.28515625" style="281"/>
    <col min="2049" max="2049" width="6.85546875" style="281" customWidth="1"/>
    <col min="2050" max="2050" width="62.42578125" style="281" customWidth="1"/>
    <col min="2051" max="2051" width="29.7109375" style="281" customWidth="1"/>
    <col min="2052" max="2052" width="12.7109375" style="281" customWidth="1"/>
    <col min="2053" max="2053" width="9.42578125" style="281" customWidth="1"/>
    <col min="2054" max="2054" width="14.140625" style="281" customWidth="1"/>
    <col min="2055" max="2055" width="15.42578125" style="281" customWidth="1"/>
    <col min="2056" max="2056" width="20.42578125" style="281" customWidth="1"/>
    <col min="2057" max="2057" width="16.28515625" style="281" customWidth="1"/>
    <col min="2058" max="2058" width="19.42578125" style="281" customWidth="1"/>
    <col min="2059" max="2059" width="16.28515625" style="281" customWidth="1"/>
    <col min="2060" max="2060" width="21.85546875" style="281" customWidth="1"/>
    <col min="2061" max="2061" width="23.28515625" style="281" customWidth="1"/>
    <col min="2062" max="2062" width="20.42578125" style="281" customWidth="1"/>
    <col min="2063" max="2063" width="22.28515625" style="281" customWidth="1"/>
    <col min="2064" max="2064" width="16.5703125" style="281" bestFit="1" customWidth="1"/>
    <col min="2065" max="2304" width="9.28515625" style="281"/>
    <col min="2305" max="2305" width="6.85546875" style="281" customWidth="1"/>
    <col min="2306" max="2306" width="62.42578125" style="281" customWidth="1"/>
    <col min="2307" max="2307" width="29.7109375" style="281" customWidth="1"/>
    <col min="2308" max="2308" width="12.7109375" style="281" customWidth="1"/>
    <col min="2309" max="2309" width="9.42578125" style="281" customWidth="1"/>
    <col min="2310" max="2310" width="14.140625" style="281" customWidth="1"/>
    <col min="2311" max="2311" width="15.42578125" style="281" customWidth="1"/>
    <col min="2312" max="2312" width="20.42578125" style="281" customWidth="1"/>
    <col min="2313" max="2313" width="16.28515625" style="281" customWidth="1"/>
    <col min="2314" max="2314" width="19.42578125" style="281" customWidth="1"/>
    <col min="2315" max="2315" width="16.28515625" style="281" customWidth="1"/>
    <col min="2316" max="2316" width="21.85546875" style="281" customWidth="1"/>
    <col min="2317" max="2317" width="23.28515625" style="281" customWidth="1"/>
    <col min="2318" max="2318" width="20.42578125" style="281" customWidth="1"/>
    <col min="2319" max="2319" width="22.28515625" style="281" customWidth="1"/>
    <col min="2320" max="2320" width="16.5703125" style="281" bestFit="1" customWidth="1"/>
    <col min="2321" max="2560" width="9.28515625" style="281"/>
    <col min="2561" max="2561" width="6.85546875" style="281" customWidth="1"/>
    <col min="2562" max="2562" width="62.42578125" style="281" customWidth="1"/>
    <col min="2563" max="2563" width="29.7109375" style="281" customWidth="1"/>
    <col min="2564" max="2564" width="12.7109375" style="281" customWidth="1"/>
    <col min="2565" max="2565" width="9.42578125" style="281" customWidth="1"/>
    <col min="2566" max="2566" width="14.140625" style="281" customWidth="1"/>
    <col min="2567" max="2567" width="15.42578125" style="281" customWidth="1"/>
    <col min="2568" max="2568" width="20.42578125" style="281" customWidth="1"/>
    <col min="2569" max="2569" width="16.28515625" style="281" customWidth="1"/>
    <col min="2570" max="2570" width="19.42578125" style="281" customWidth="1"/>
    <col min="2571" max="2571" width="16.28515625" style="281" customWidth="1"/>
    <col min="2572" max="2572" width="21.85546875" style="281" customWidth="1"/>
    <col min="2573" max="2573" width="23.28515625" style="281" customWidth="1"/>
    <col min="2574" max="2574" width="20.42578125" style="281" customWidth="1"/>
    <col min="2575" max="2575" width="22.28515625" style="281" customWidth="1"/>
    <col min="2576" max="2576" width="16.5703125" style="281" bestFit="1" customWidth="1"/>
    <col min="2577" max="2816" width="9.28515625" style="281"/>
    <col min="2817" max="2817" width="6.85546875" style="281" customWidth="1"/>
    <col min="2818" max="2818" width="62.42578125" style="281" customWidth="1"/>
    <col min="2819" max="2819" width="29.7109375" style="281" customWidth="1"/>
    <col min="2820" max="2820" width="12.7109375" style="281" customWidth="1"/>
    <col min="2821" max="2821" width="9.42578125" style="281" customWidth="1"/>
    <col min="2822" max="2822" width="14.140625" style="281" customWidth="1"/>
    <col min="2823" max="2823" width="15.42578125" style="281" customWidth="1"/>
    <col min="2824" max="2824" width="20.42578125" style="281" customWidth="1"/>
    <col min="2825" max="2825" width="16.28515625" style="281" customWidth="1"/>
    <col min="2826" max="2826" width="19.42578125" style="281" customWidth="1"/>
    <col min="2827" max="2827" width="16.28515625" style="281" customWidth="1"/>
    <col min="2828" max="2828" width="21.85546875" style="281" customWidth="1"/>
    <col min="2829" max="2829" width="23.28515625" style="281" customWidth="1"/>
    <col min="2830" max="2830" width="20.42578125" style="281" customWidth="1"/>
    <col min="2831" max="2831" width="22.28515625" style="281" customWidth="1"/>
    <col min="2832" max="2832" width="16.5703125" style="281" bestFit="1" customWidth="1"/>
    <col min="2833" max="3072" width="9.28515625" style="281"/>
    <col min="3073" max="3073" width="6.85546875" style="281" customWidth="1"/>
    <col min="3074" max="3074" width="62.42578125" style="281" customWidth="1"/>
    <col min="3075" max="3075" width="29.7109375" style="281" customWidth="1"/>
    <col min="3076" max="3076" width="12.7109375" style="281" customWidth="1"/>
    <col min="3077" max="3077" width="9.42578125" style="281" customWidth="1"/>
    <col min="3078" max="3078" width="14.140625" style="281" customWidth="1"/>
    <col min="3079" max="3079" width="15.42578125" style="281" customWidth="1"/>
    <col min="3080" max="3080" width="20.42578125" style="281" customWidth="1"/>
    <col min="3081" max="3081" width="16.28515625" style="281" customWidth="1"/>
    <col min="3082" max="3082" width="19.42578125" style="281" customWidth="1"/>
    <col min="3083" max="3083" width="16.28515625" style="281" customWidth="1"/>
    <col min="3084" max="3084" width="21.85546875" style="281" customWidth="1"/>
    <col min="3085" max="3085" width="23.28515625" style="281" customWidth="1"/>
    <col min="3086" max="3086" width="20.42578125" style="281" customWidth="1"/>
    <col min="3087" max="3087" width="22.28515625" style="281" customWidth="1"/>
    <col min="3088" max="3088" width="16.5703125" style="281" bestFit="1" customWidth="1"/>
    <col min="3089" max="3328" width="9.28515625" style="281"/>
    <col min="3329" max="3329" width="6.85546875" style="281" customWidth="1"/>
    <col min="3330" max="3330" width="62.42578125" style="281" customWidth="1"/>
    <col min="3331" max="3331" width="29.7109375" style="281" customWidth="1"/>
    <col min="3332" max="3332" width="12.7109375" style="281" customWidth="1"/>
    <col min="3333" max="3333" width="9.42578125" style="281" customWidth="1"/>
    <col min="3334" max="3334" width="14.140625" style="281" customWidth="1"/>
    <col min="3335" max="3335" width="15.42578125" style="281" customWidth="1"/>
    <col min="3336" max="3336" width="20.42578125" style="281" customWidth="1"/>
    <col min="3337" max="3337" width="16.28515625" style="281" customWidth="1"/>
    <col min="3338" max="3338" width="19.42578125" style="281" customWidth="1"/>
    <col min="3339" max="3339" width="16.28515625" style="281" customWidth="1"/>
    <col min="3340" max="3340" width="21.85546875" style="281" customWidth="1"/>
    <col min="3341" max="3341" width="23.28515625" style="281" customWidth="1"/>
    <col min="3342" max="3342" width="20.42578125" style="281" customWidth="1"/>
    <col min="3343" max="3343" width="22.28515625" style="281" customWidth="1"/>
    <col min="3344" max="3344" width="16.5703125" style="281" bestFit="1" customWidth="1"/>
    <col min="3345" max="3584" width="9.28515625" style="281"/>
    <col min="3585" max="3585" width="6.85546875" style="281" customWidth="1"/>
    <col min="3586" max="3586" width="62.42578125" style="281" customWidth="1"/>
    <col min="3587" max="3587" width="29.7109375" style="281" customWidth="1"/>
    <col min="3588" max="3588" width="12.7109375" style="281" customWidth="1"/>
    <col min="3589" max="3589" width="9.42578125" style="281" customWidth="1"/>
    <col min="3590" max="3590" width="14.140625" style="281" customWidth="1"/>
    <col min="3591" max="3591" width="15.42578125" style="281" customWidth="1"/>
    <col min="3592" max="3592" width="20.42578125" style="281" customWidth="1"/>
    <col min="3593" max="3593" width="16.28515625" style="281" customWidth="1"/>
    <col min="3594" max="3594" width="19.42578125" style="281" customWidth="1"/>
    <col min="3595" max="3595" width="16.28515625" style="281" customWidth="1"/>
    <col min="3596" max="3596" width="21.85546875" style="281" customWidth="1"/>
    <col min="3597" max="3597" width="23.28515625" style="281" customWidth="1"/>
    <col min="3598" max="3598" width="20.42578125" style="281" customWidth="1"/>
    <col min="3599" max="3599" width="22.28515625" style="281" customWidth="1"/>
    <col min="3600" max="3600" width="16.5703125" style="281" bestFit="1" customWidth="1"/>
    <col min="3601" max="3840" width="9.28515625" style="281"/>
    <col min="3841" max="3841" width="6.85546875" style="281" customWidth="1"/>
    <col min="3842" max="3842" width="62.42578125" style="281" customWidth="1"/>
    <col min="3843" max="3843" width="29.7109375" style="281" customWidth="1"/>
    <col min="3844" max="3844" width="12.7109375" style="281" customWidth="1"/>
    <col min="3845" max="3845" width="9.42578125" style="281" customWidth="1"/>
    <col min="3846" max="3846" width="14.140625" style="281" customWidth="1"/>
    <col min="3847" max="3847" width="15.42578125" style="281" customWidth="1"/>
    <col min="3848" max="3848" width="20.42578125" style="281" customWidth="1"/>
    <col min="3849" max="3849" width="16.28515625" style="281" customWidth="1"/>
    <col min="3850" max="3850" width="19.42578125" style="281" customWidth="1"/>
    <col min="3851" max="3851" width="16.28515625" style="281" customWidth="1"/>
    <col min="3852" max="3852" width="21.85546875" style="281" customWidth="1"/>
    <col min="3853" max="3853" width="23.28515625" style="281" customWidth="1"/>
    <col min="3854" max="3854" width="20.42578125" style="281" customWidth="1"/>
    <col min="3855" max="3855" width="22.28515625" style="281" customWidth="1"/>
    <col min="3856" max="3856" width="16.5703125" style="281" bestFit="1" customWidth="1"/>
    <col min="3857" max="4096" width="9.28515625" style="281"/>
    <col min="4097" max="4097" width="6.85546875" style="281" customWidth="1"/>
    <col min="4098" max="4098" width="62.42578125" style="281" customWidth="1"/>
    <col min="4099" max="4099" width="29.7109375" style="281" customWidth="1"/>
    <col min="4100" max="4100" width="12.7109375" style="281" customWidth="1"/>
    <col min="4101" max="4101" width="9.42578125" style="281" customWidth="1"/>
    <col min="4102" max="4102" width="14.140625" style="281" customWidth="1"/>
    <col min="4103" max="4103" width="15.42578125" style="281" customWidth="1"/>
    <col min="4104" max="4104" width="20.42578125" style="281" customWidth="1"/>
    <col min="4105" max="4105" width="16.28515625" style="281" customWidth="1"/>
    <col min="4106" max="4106" width="19.42578125" style="281" customWidth="1"/>
    <col min="4107" max="4107" width="16.28515625" style="281" customWidth="1"/>
    <col min="4108" max="4108" width="21.85546875" style="281" customWidth="1"/>
    <col min="4109" max="4109" width="23.28515625" style="281" customWidth="1"/>
    <col min="4110" max="4110" width="20.42578125" style="281" customWidth="1"/>
    <col min="4111" max="4111" width="22.28515625" style="281" customWidth="1"/>
    <col min="4112" max="4112" width="16.5703125" style="281" bestFit="1" customWidth="1"/>
    <col min="4113" max="4352" width="9.28515625" style="281"/>
    <col min="4353" max="4353" width="6.85546875" style="281" customWidth="1"/>
    <col min="4354" max="4354" width="62.42578125" style="281" customWidth="1"/>
    <col min="4355" max="4355" width="29.7109375" style="281" customWidth="1"/>
    <col min="4356" max="4356" width="12.7109375" style="281" customWidth="1"/>
    <col min="4357" max="4357" width="9.42578125" style="281" customWidth="1"/>
    <col min="4358" max="4358" width="14.140625" style="281" customWidth="1"/>
    <col min="4359" max="4359" width="15.42578125" style="281" customWidth="1"/>
    <col min="4360" max="4360" width="20.42578125" style="281" customWidth="1"/>
    <col min="4361" max="4361" width="16.28515625" style="281" customWidth="1"/>
    <col min="4362" max="4362" width="19.42578125" style="281" customWidth="1"/>
    <col min="4363" max="4363" width="16.28515625" style="281" customWidth="1"/>
    <col min="4364" max="4364" width="21.85546875" style="281" customWidth="1"/>
    <col min="4365" max="4365" width="23.28515625" style="281" customWidth="1"/>
    <col min="4366" max="4366" width="20.42578125" style="281" customWidth="1"/>
    <col min="4367" max="4367" width="22.28515625" style="281" customWidth="1"/>
    <col min="4368" max="4368" width="16.5703125" style="281" bestFit="1" customWidth="1"/>
    <col min="4369" max="4608" width="9.28515625" style="281"/>
    <col min="4609" max="4609" width="6.85546875" style="281" customWidth="1"/>
    <col min="4610" max="4610" width="62.42578125" style="281" customWidth="1"/>
    <col min="4611" max="4611" width="29.7109375" style="281" customWidth="1"/>
    <col min="4612" max="4612" width="12.7109375" style="281" customWidth="1"/>
    <col min="4613" max="4613" width="9.42578125" style="281" customWidth="1"/>
    <col min="4614" max="4614" width="14.140625" style="281" customWidth="1"/>
    <col min="4615" max="4615" width="15.42578125" style="281" customWidth="1"/>
    <col min="4616" max="4616" width="20.42578125" style="281" customWidth="1"/>
    <col min="4617" max="4617" width="16.28515625" style="281" customWidth="1"/>
    <col min="4618" max="4618" width="19.42578125" style="281" customWidth="1"/>
    <col min="4619" max="4619" width="16.28515625" style="281" customWidth="1"/>
    <col min="4620" max="4620" width="21.85546875" style="281" customWidth="1"/>
    <col min="4621" max="4621" width="23.28515625" style="281" customWidth="1"/>
    <col min="4622" max="4622" width="20.42578125" style="281" customWidth="1"/>
    <col min="4623" max="4623" width="22.28515625" style="281" customWidth="1"/>
    <col min="4624" max="4624" width="16.5703125" style="281" bestFit="1" customWidth="1"/>
    <col min="4625" max="4864" width="9.28515625" style="281"/>
    <col min="4865" max="4865" width="6.85546875" style="281" customWidth="1"/>
    <col min="4866" max="4866" width="62.42578125" style="281" customWidth="1"/>
    <col min="4867" max="4867" width="29.7109375" style="281" customWidth="1"/>
    <col min="4868" max="4868" width="12.7109375" style="281" customWidth="1"/>
    <col min="4869" max="4869" width="9.42578125" style="281" customWidth="1"/>
    <col min="4870" max="4870" width="14.140625" style="281" customWidth="1"/>
    <col min="4871" max="4871" width="15.42578125" style="281" customWidth="1"/>
    <col min="4872" max="4872" width="20.42578125" style="281" customWidth="1"/>
    <col min="4873" max="4873" width="16.28515625" style="281" customWidth="1"/>
    <col min="4874" max="4874" width="19.42578125" style="281" customWidth="1"/>
    <col min="4875" max="4875" width="16.28515625" style="281" customWidth="1"/>
    <col min="4876" max="4876" width="21.85546875" style="281" customWidth="1"/>
    <col min="4877" max="4877" width="23.28515625" style="281" customWidth="1"/>
    <col min="4878" max="4878" width="20.42578125" style="281" customWidth="1"/>
    <col min="4879" max="4879" width="22.28515625" style="281" customWidth="1"/>
    <col min="4880" max="4880" width="16.5703125" style="281" bestFit="1" customWidth="1"/>
    <col min="4881" max="5120" width="9.28515625" style="281"/>
    <col min="5121" max="5121" width="6.85546875" style="281" customWidth="1"/>
    <col min="5122" max="5122" width="62.42578125" style="281" customWidth="1"/>
    <col min="5123" max="5123" width="29.7109375" style="281" customWidth="1"/>
    <col min="5124" max="5124" width="12.7109375" style="281" customWidth="1"/>
    <col min="5125" max="5125" width="9.42578125" style="281" customWidth="1"/>
    <col min="5126" max="5126" width="14.140625" style="281" customWidth="1"/>
    <col min="5127" max="5127" width="15.42578125" style="281" customWidth="1"/>
    <col min="5128" max="5128" width="20.42578125" style="281" customWidth="1"/>
    <col min="5129" max="5129" width="16.28515625" style="281" customWidth="1"/>
    <col min="5130" max="5130" width="19.42578125" style="281" customWidth="1"/>
    <col min="5131" max="5131" width="16.28515625" style="281" customWidth="1"/>
    <col min="5132" max="5132" width="21.85546875" style="281" customWidth="1"/>
    <col min="5133" max="5133" width="23.28515625" style="281" customWidth="1"/>
    <col min="5134" max="5134" width="20.42578125" style="281" customWidth="1"/>
    <col min="5135" max="5135" width="22.28515625" style="281" customWidth="1"/>
    <col min="5136" max="5136" width="16.5703125" style="281" bestFit="1" customWidth="1"/>
    <col min="5137" max="5376" width="9.28515625" style="281"/>
    <col min="5377" max="5377" width="6.85546875" style="281" customWidth="1"/>
    <col min="5378" max="5378" width="62.42578125" style="281" customWidth="1"/>
    <col min="5379" max="5379" width="29.7109375" style="281" customWidth="1"/>
    <col min="5380" max="5380" width="12.7109375" style="281" customWidth="1"/>
    <col min="5381" max="5381" width="9.42578125" style="281" customWidth="1"/>
    <col min="5382" max="5382" width="14.140625" style="281" customWidth="1"/>
    <col min="5383" max="5383" width="15.42578125" style="281" customWidth="1"/>
    <col min="5384" max="5384" width="20.42578125" style="281" customWidth="1"/>
    <col min="5385" max="5385" width="16.28515625" style="281" customWidth="1"/>
    <col min="5386" max="5386" width="19.42578125" style="281" customWidth="1"/>
    <col min="5387" max="5387" width="16.28515625" style="281" customWidth="1"/>
    <col min="5388" max="5388" width="21.85546875" style="281" customWidth="1"/>
    <col min="5389" max="5389" width="23.28515625" style="281" customWidth="1"/>
    <col min="5390" max="5390" width="20.42578125" style="281" customWidth="1"/>
    <col min="5391" max="5391" width="22.28515625" style="281" customWidth="1"/>
    <col min="5392" max="5392" width="16.5703125" style="281" bestFit="1" customWidth="1"/>
    <col min="5393" max="5632" width="9.28515625" style="281"/>
    <col min="5633" max="5633" width="6.85546875" style="281" customWidth="1"/>
    <col min="5634" max="5634" width="62.42578125" style="281" customWidth="1"/>
    <col min="5635" max="5635" width="29.7109375" style="281" customWidth="1"/>
    <col min="5636" max="5636" width="12.7109375" style="281" customWidth="1"/>
    <col min="5637" max="5637" width="9.42578125" style="281" customWidth="1"/>
    <col min="5638" max="5638" width="14.140625" style="281" customWidth="1"/>
    <col min="5639" max="5639" width="15.42578125" style="281" customWidth="1"/>
    <col min="5640" max="5640" width="20.42578125" style="281" customWidth="1"/>
    <col min="5641" max="5641" width="16.28515625" style="281" customWidth="1"/>
    <col min="5642" max="5642" width="19.42578125" style="281" customWidth="1"/>
    <col min="5643" max="5643" width="16.28515625" style="281" customWidth="1"/>
    <col min="5644" max="5644" width="21.85546875" style="281" customWidth="1"/>
    <col min="5645" max="5645" width="23.28515625" style="281" customWidth="1"/>
    <col min="5646" max="5646" width="20.42578125" style="281" customWidth="1"/>
    <col min="5647" max="5647" width="22.28515625" style="281" customWidth="1"/>
    <col min="5648" max="5648" width="16.5703125" style="281" bestFit="1" customWidth="1"/>
    <col min="5649" max="5888" width="9.28515625" style="281"/>
    <col min="5889" max="5889" width="6.85546875" style="281" customWidth="1"/>
    <col min="5890" max="5890" width="62.42578125" style="281" customWidth="1"/>
    <col min="5891" max="5891" width="29.7109375" style="281" customWidth="1"/>
    <col min="5892" max="5892" width="12.7109375" style="281" customWidth="1"/>
    <col min="5893" max="5893" width="9.42578125" style="281" customWidth="1"/>
    <col min="5894" max="5894" width="14.140625" style="281" customWidth="1"/>
    <col min="5895" max="5895" width="15.42578125" style="281" customWidth="1"/>
    <col min="5896" max="5896" width="20.42578125" style="281" customWidth="1"/>
    <col min="5897" max="5897" width="16.28515625" style="281" customWidth="1"/>
    <col min="5898" max="5898" width="19.42578125" style="281" customWidth="1"/>
    <col min="5899" max="5899" width="16.28515625" style="281" customWidth="1"/>
    <col min="5900" max="5900" width="21.85546875" style="281" customWidth="1"/>
    <col min="5901" max="5901" width="23.28515625" style="281" customWidth="1"/>
    <col min="5902" max="5902" width="20.42578125" style="281" customWidth="1"/>
    <col min="5903" max="5903" width="22.28515625" style="281" customWidth="1"/>
    <col min="5904" max="5904" width="16.5703125" style="281" bestFit="1" customWidth="1"/>
    <col min="5905" max="6144" width="9.28515625" style="281"/>
    <col min="6145" max="6145" width="6.85546875" style="281" customWidth="1"/>
    <col min="6146" max="6146" width="62.42578125" style="281" customWidth="1"/>
    <col min="6147" max="6147" width="29.7109375" style="281" customWidth="1"/>
    <col min="6148" max="6148" width="12.7109375" style="281" customWidth="1"/>
    <col min="6149" max="6149" width="9.42578125" style="281" customWidth="1"/>
    <col min="6150" max="6150" width="14.140625" style="281" customWidth="1"/>
    <col min="6151" max="6151" width="15.42578125" style="281" customWidth="1"/>
    <col min="6152" max="6152" width="20.42578125" style="281" customWidth="1"/>
    <col min="6153" max="6153" width="16.28515625" style="281" customWidth="1"/>
    <col min="6154" max="6154" width="19.42578125" style="281" customWidth="1"/>
    <col min="6155" max="6155" width="16.28515625" style="281" customWidth="1"/>
    <col min="6156" max="6156" width="21.85546875" style="281" customWidth="1"/>
    <col min="6157" max="6157" width="23.28515625" style="281" customWidth="1"/>
    <col min="6158" max="6158" width="20.42578125" style="281" customWidth="1"/>
    <col min="6159" max="6159" width="22.28515625" style="281" customWidth="1"/>
    <col min="6160" max="6160" width="16.5703125" style="281" bestFit="1" customWidth="1"/>
    <col min="6161" max="6400" width="9.28515625" style="281"/>
    <col min="6401" max="6401" width="6.85546875" style="281" customWidth="1"/>
    <col min="6402" max="6402" width="62.42578125" style="281" customWidth="1"/>
    <col min="6403" max="6403" width="29.7109375" style="281" customWidth="1"/>
    <col min="6404" max="6404" width="12.7109375" style="281" customWidth="1"/>
    <col min="6405" max="6405" width="9.42578125" style="281" customWidth="1"/>
    <col min="6406" max="6406" width="14.140625" style="281" customWidth="1"/>
    <col min="6407" max="6407" width="15.42578125" style="281" customWidth="1"/>
    <col min="6408" max="6408" width="20.42578125" style="281" customWidth="1"/>
    <col min="6409" max="6409" width="16.28515625" style="281" customWidth="1"/>
    <col min="6410" max="6410" width="19.42578125" style="281" customWidth="1"/>
    <col min="6411" max="6411" width="16.28515625" style="281" customWidth="1"/>
    <col min="6412" max="6412" width="21.85546875" style="281" customWidth="1"/>
    <col min="6413" max="6413" width="23.28515625" style="281" customWidth="1"/>
    <col min="6414" max="6414" width="20.42578125" style="281" customWidth="1"/>
    <col min="6415" max="6415" width="22.28515625" style="281" customWidth="1"/>
    <col min="6416" max="6416" width="16.5703125" style="281" bestFit="1" customWidth="1"/>
    <col min="6417" max="6656" width="9.28515625" style="281"/>
    <col min="6657" max="6657" width="6.85546875" style="281" customWidth="1"/>
    <col min="6658" max="6658" width="62.42578125" style="281" customWidth="1"/>
    <col min="6659" max="6659" width="29.7109375" style="281" customWidth="1"/>
    <col min="6660" max="6660" width="12.7109375" style="281" customWidth="1"/>
    <col min="6661" max="6661" width="9.42578125" style="281" customWidth="1"/>
    <col min="6662" max="6662" width="14.140625" style="281" customWidth="1"/>
    <col min="6663" max="6663" width="15.42578125" style="281" customWidth="1"/>
    <col min="6664" max="6664" width="20.42578125" style="281" customWidth="1"/>
    <col min="6665" max="6665" width="16.28515625" style="281" customWidth="1"/>
    <col min="6666" max="6666" width="19.42578125" style="281" customWidth="1"/>
    <col min="6667" max="6667" width="16.28515625" style="281" customWidth="1"/>
    <col min="6668" max="6668" width="21.85546875" style="281" customWidth="1"/>
    <col min="6669" max="6669" width="23.28515625" style="281" customWidth="1"/>
    <col min="6670" max="6670" width="20.42578125" style="281" customWidth="1"/>
    <col min="6671" max="6671" width="22.28515625" style="281" customWidth="1"/>
    <col min="6672" max="6672" width="16.5703125" style="281" bestFit="1" customWidth="1"/>
    <col min="6673" max="6912" width="9.28515625" style="281"/>
    <col min="6913" max="6913" width="6.85546875" style="281" customWidth="1"/>
    <col min="6914" max="6914" width="62.42578125" style="281" customWidth="1"/>
    <col min="6915" max="6915" width="29.7109375" style="281" customWidth="1"/>
    <col min="6916" max="6916" width="12.7109375" style="281" customWidth="1"/>
    <col min="6917" max="6917" width="9.42578125" style="281" customWidth="1"/>
    <col min="6918" max="6918" width="14.140625" style="281" customWidth="1"/>
    <col min="6919" max="6919" width="15.42578125" style="281" customWidth="1"/>
    <col min="6920" max="6920" width="20.42578125" style="281" customWidth="1"/>
    <col min="6921" max="6921" width="16.28515625" style="281" customWidth="1"/>
    <col min="6922" max="6922" width="19.42578125" style="281" customWidth="1"/>
    <col min="6923" max="6923" width="16.28515625" style="281" customWidth="1"/>
    <col min="6924" max="6924" width="21.85546875" style="281" customWidth="1"/>
    <col min="6925" max="6925" width="23.28515625" style="281" customWidth="1"/>
    <col min="6926" max="6926" width="20.42578125" style="281" customWidth="1"/>
    <col min="6927" max="6927" width="22.28515625" style="281" customWidth="1"/>
    <col min="6928" max="6928" width="16.5703125" style="281" bestFit="1" customWidth="1"/>
    <col min="6929" max="7168" width="9.28515625" style="281"/>
    <col min="7169" max="7169" width="6.85546875" style="281" customWidth="1"/>
    <col min="7170" max="7170" width="62.42578125" style="281" customWidth="1"/>
    <col min="7171" max="7171" width="29.7109375" style="281" customWidth="1"/>
    <col min="7172" max="7172" width="12.7109375" style="281" customWidth="1"/>
    <col min="7173" max="7173" width="9.42578125" style="281" customWidth="1"/>
    <col min="7174" max="7174" width="14.140625" style="281" customWidth="1"/>
    <col min="7175" max="7175" width="15.42578125" style="281" customWidth="1"/>
    <col min="7176" max="7176" width="20.42578125" style="281" customWidth="1"/>
    <col min="7177" max="7177" width="16.28515625" style="281" customWidth="1"/>
    <col min="7178" max="7178" width="19.42578125" style="281" customWidth="1"/>
    <col min="7179" max="7179" width="16.28515625" style="281" customWidth="1"/>
    <col min="7180" max="7180" width="21.85546875" style="281" customWidth="1"/>
    <col min="7181" max="7181" width="23.28515625" style="281" customWidth="1"/>
    <col min="7182" max="7182" width="20.42578125" style="281" customWidth="1"/>
    <col min="7183" max="7183" width="22.28515625" style="281" customWidth="1"/>
    <col min="7184" max="7184" width="16.5703125" style="281" bestFit="1" customWidth="1"/>
    <col min="7185" max="7424" width="9.28515625" style="281"/>
    <col min="7425" max="7425" width="6.85546875" style="281" customWidth="1"/>
    <col min="7426" max="7426" width="62.42578125" style="281" customWidth="1"/>
    <col min="7427" max="7427" width="29.7109375" style="281" customWidth="1"/>
    <col min="7428" max="7428" width="12.7109375" style="281" customWidth="1"/>
    <col min="7429" max="7429" width="9.42578125" style="281" customWidth="1"/>
    <col min="7430" max="7430" width="14.140625" style="281" customWidth="1"/>
    <col min="7431" max="7431" width="15.42578125" style="281" customWidth="1"/>
    <col min="7432" max="7432" width="20.42578125" style="281" customWidth="1"/>
    <col min="7433" max="7433" width="16.28515625" style="281" customWidth="1"/>
    <col min="7434" max="7434" width="19.42578125" style="281" customWidth="1"/>
    <col min="7435" max="7435" width="16.28515625" style="281" customWidth="1"/>
    <col min="7436" max="7436" width="21.85546875" style="281" customWidth="1"/>
    <col min="7437" max="7437" width="23.28515625" style="281" customWidth="1"/>
    <col min="7438" max="7438" width="20.42578125" style="281" customWidth="1"/>
    <col min="7439" max="7439" width="22.28515625" style="281" customWidth="1"/>
    <col min="7440" max="7440" width="16.5703125" style="281" bestFit="1" customWidth="1"/>
    <col min="7441" max="7680" width="9.28515625" style="281"/>
    <col min="7681" max="7681" width="6.85546875" style="281" customWidth="1"/>
    <col min="7682" max="7682" width="62.42578125" style="281" customWidth="1"/>
    <col min="7683" max="7683" width="29.7109375" style="281" customWidth="1"/>
    <col min="7684" max="7684" width="12.7109375" style="281" customWidth="1"/>
    <col min="7685" max="7685" width="9.42578125" style="281" customWidth="1"/>
    <col min="7686" max="7686" width="14.140625" style="281" customWidth="1"/>
    <col min="7687" max="7687" width="15.42578125" style="281" customWidth="1"/>
    <col min="7688" max="7688" width="20.42578125" style="281" customWidth="1"/>
    <col min="7689" max="7689" width="16.28515625" style="281" customWidth="1"/>
    <col min="7690" max="7690" width="19.42578125" style="281" customWidth="1"/>
    <col min="7691" max="7691" width="16.28515625" style="281" customWidth="1"/>
    <col min="7692" max="7692" width="21.85546875" style="281" customWidth="1"/>
    <col min="7693" max="7693" width="23.28515625" style="281" customWidth="1"/>
    <col min="7694" max="7694" width="20.42578125" style="281" customWidth="1"/>
    <col min="7695" max="7695" width="22.28515625" style="281" customWidth="1"/>
    <col min="7696" max="7696" width="16.5703125" style="281" bestFit="1" customWidth="1"/>
    <col min="7697" max="7936" width="9.28515625" style="281"/>
    <col min="7937" max="7937" width="6.85546875" style="281" customWidth="1"/>
    <col min="7938" max="7938" width="62.42578125" style="281" customWidth="1"/>
    <col min="7939" max="7939" width="29.7109375" style="281" customWidth="1"/>
    <col min="7940" max="7940" width="12.7109375" style="281" customWidth="1"/>
    <col min="7941" max="7941" width="9.42578125" style="281" customWidth="1"/>
    <col min="7942" max="7942" width="14.140625" style="281" customWidth="1"/>
    <col min="7943" max="7943" width="15.42578125" style="281" customWidth="1"/>
    <col min="7944" max="7944" width="20.42578125" style="281" customWidth="1"/>
    <col min="7945" max="7945" width="16.28515625" style="281" customWidth="1"/>
    <col min="7946" max="7946" width="19.42578125" style="281" customWidth="1"/>
    <col min="7947" max="7947" width="16.28515625" style="281" customWidth="1"/>
    <col min="7948" max="7948" width="21.85546875" style="281" customWidth="1"/>
    <col min="7949" max="7949" width="23.28515625" style="281" customWidth="1"/>
    <col min="7950" max="7950" width="20.42578125" style="281" customWidth="1"/>
    <col min="7951" max="7951" width="22.28515625" style="281" customWidth="1"/>
    <col min="7952" max="7952" width="16.5703125" style="281" bestFit="1" customWidth="1"/>
    <col min="7953" max="8192" width="9.28515625" style="281"/>
    <col min="8193" max="8193" width="6.85546875" style="281" customWidth="1"/>
    <col min="8194" max="8194" width="62.42578125" style="281" customWidth="1"/>
    <col min="8195" max="8195" width="29.7109375" style="281" customWidth="1"/>
    <col min="8196" max="8196" width="12.7109375" style="281" customWidth="1"/>
    <col min="8197" max="8197" width="9.42578125" style="281" customWidth="1"/>
    <col min="8198" max="8198" width="14.140625" style="281" customWidth="1"/>
    <col min="8199" max="8199" width="15.42578125" style="281" customWidth="1"/>
    <col min="8200" max="8200" width="20.42578125" style="281" customWidth="1"/>
    <col min="8201" max="8201" width="16.28515625" style="281" customWidth="1"/>
    <col min="8202" max="8202" width="19.42578125" style="281" customWidth="1"/>
    <col min="8203" max="8203" width="16.28515625" style="281" customWidth="1"/>
    <col min="8204" max="8204" width="21.85546875" style="281" customWidth="1"/>
    <col min="8205" max="8205" width="23.28515625" style="281" customWidth="1"/>
    <col min="8206" max="8206" width="20.42578125" style="281" customWidth="1"/>
    <col min="8207" max="8207" width="22.28515625" style="281" customWidth="1"/>
    <col min="8208" max="8208" width="16.5703125" style="281" bestFit="1" customWidth="1"/>
    <col min="8209" max="8448" width="9.28515625" style="281"/>
    <col min="8449" max="8449" width="6.85546875" style="281" customWidth="1"/>
    <col min="8450" max="8450" width="62.42578125" style="281" customWidth="1"/>
    <col min="8451" max="8451" width="29.7109375" style="281" customWidth="1"/>
    <col min="8452" max="8452" width="12.7109375" style="281" customWidth="1"/>
    <col min="8453" max="8453" width="9.42578125" style="281" customWidth="1"/>
    <col min="8454" max="8454" width="14.140625" style="281" customWidth="1"/>
    <col min="8455" max="8455" width="15.42578125" style="281" customWidth="1"/>
    <col min="8456" max="8456" width="20.42578125" style="281" customWidth="1"/>
    <col min="8457" max="8457" width="16.28515625" style="281" customWidth="1"/>
    <col min="8458" max="8458" width="19.42578125" style="281" customWidth="1"/>
    <col min="8459" max="8459" width="16.28515625" style="281" customWidth="1"/>
    <col min="8460" max="8460" width="21.85546875" style="281" customWidth="1"/>
    <col min="8461" max="8461" width="23.28515625" style="281" customWidth="1"/>
    <col min="8462" max="8462" width="20.42578125" style="281" customWidth="1"/>
    <col min="8463" max="8463" width="22.28515625" style="281" customWidth="1"/>
    <col min="8464" max="8464" width="16.5703125" style="281" bestFit="1" customWidth="1"/>
    <col min="8465" max="8704" width="9.28515625" style="281"/>
    <col min="8705" max="8705" width="6.85546875" style="281" customWidth="1"/>
    <col min="8706" max="8706" width="62.42578125" style="281" customWidth="1"/>
    <col min="8707" max="8707" width="29.7109375" style="281" customWidth="1"/>
    <col min="8708" max="8708" width="12.7109375" style="281" customWidth="1"/>
    <col min="8709" max="8709" width="9.42578125" style="281" customWidth="1"/>
    <col min="8710" max="8710" width="14.140625" style="281" customWidth="1"/>
    <col min="8711" max="8711" width="15.42578125" style="281" customWidth="1"/>
    <col min="8712" max="8712" width="20.42578125" style="281" customWidth="1"/>
    <col min="8713" max="8713" width="16.28515625" style="281" customWidth="1"/>
    <col min="8714" max="8714" width="19.42578125" style="281" customWidth="1"/>
    <col min="8715" max="8715" width="16.28515625" style="281" customWidth="1"/>
    <col min="8716" max="8716" width="21.85546875" style="281" customWidth="1"/>
    <col min="8717" max="8717" width="23.28515625" style="281" customWidth="1"/>
    <col min="8718" max="8718" width="20.42578125" style="281" customWidth="1"/>
    <col min="8719" max="8719" width="22.28515625" style="281" customWidth="1"/>
    <col min="8720" max="8720" width="16.5703125" style="281" bestFit="1" customWidth="1"/>
    <col min="8721" max="8960" width="9.28515625" style="281"/>
    <col min="8961" max="8961" width="6.85546875" style="281" customWidth="1"/>
    <col min="8962" max="8962" width="62.42578125" style="281" customWidth="1"/>
    <col min="8963" max="8963" width="29.7109375" style="281" customWidth="1"/>
    <col min="8964" max="8964" width="12.7109375" style="281" customWidth="1"/>
    <col min="8965" max="8965" width="9.42578125" style="281" customWidth="1"/>
    <col min="8966" max="8966" width="14.140625" style="281" customWidth="1"/>
    <col min="8967" max="8967" width="15.42578125" style="281" customWidth="1"/>
    <col min="8968" max="8968" width="20.42578125" style="281" customWidth="1"/>
    <col min="8969" max="8969" width="16.28515625" style="281" customWidth="1"/>
    <col min="8970" max="8970" width="19.42578125" style="281" customWidth="1"/>
    <col min="8971" max="8971" width="16.28515625" style="281" customWidth="1"/>
    <col min="8972" max="8972" width="21.85546875" style="281" customWidth="1"/>
    <col min="8973" max="8973" width="23.28515625" style="281" customWidth="1"/>
    <col min="8974" max="8974" width="20.42578125" style="281" customWidth="1"/>
    <col min="8975" max="8975" width="22.28515625" style="281" customWidth="1"/>
    <col min="8976" max="8976" width="16.5703125" style="281" bestFit="1" customWidth="1"/>
    <col min="8977" max="9216" width="9.28515625" style="281"/>
    <col min="9217" max="9217" width="6.85546875" style="281" customWidth="1"/>
    <col min="9218" max="9218" width="62.42578125" style="281" customWidth="1"/>
    <col min="9219" max="9219" width="29.7109375" style="281" customWidth="1"/>
    <col min="9220" max="9220" width="12.7109375" style="281" customWidth="1"/>
    <col min="9221" max="9221" width="9.42578125" style="281" customWidth="1"/>
    <col min="9222" max="9222" width="14.140625" style="281" customWidth="1"/>
    <col min="9223" max="9223" width="15.42578125" style="281" customWidth="1"/>
    <col min="9224" max="9224" width="20.42578125" style="281" customWidth="1"/>
    <col min="9225" max="9225" width="16.28515625" style="281" customWidth="1"/>
    <col min="9226" max="9226" width="19.42578125" style="281" customWidth="1"/>
    <col min="9227" max="9227" width="16.28515625" style="281" customWidth="1"/>
    <col min="9228" max="9228" width="21.85546875" style="281" customWidth="1"/>
    <col min="9229" max="9229" width="23.28515625" style="281" customWidth="1"/>
    <col min="9230" max="9230" width="20.42578125" style="281" customWidth="1"/>
    <col min="9231" max="9231" width="22.28515625" style="281" customWidth="1"/>
    <col min="9232" max="9232" width="16.5703125" style="281" bestFit="1" customWidth="1"/>
    <col min="9233" max="9472" width="9.28515625" style="281"/>
    <col min="9473" max="9473" width="6.85546875" style="281" customWidth="1"/>
    <col min="9474" max="9474" width="62.42578125" style="281" customWidth="1"/>
    <col min="9475" max="9475" width="29.7109375" style="281" customWidth="1"/>
    <col min="9476" max="9476" width="12.7109375" style="281" customWidth="1"/>
    <col min="9477" max="9477" width="9.42578125" style="281" customWidth="1"/>
    <col min="9478" max="9478" width="14.140625" style="281" customWidth="1"/>
    <col min="9479" max="9479" width="15.42578125" style="281" customWidth="1"/>
    <col min="9480" max="9480" width="20.42578125" style="281" customWidth="1"/>
    <col min="9481" max="9481" width="16.28515625" style="281" customWidth="1"/>
    <col min="9482" max="9482" width="19.42578125" style="281" customWidth="1"/>
    <col min="9483" max="9483" width="16.28515625" style="281" customWidth="1"/>
    <col min="9484" max="9484" width="21.85546875" style="281" customWidth="1"/>
    <col min="9485" max="9485" width="23.28515625" style="281" customWidth="1"/>
    <col min="9486" max="9486" width="20.42578125" style="281" customWidth="1"/>
    <col min="9487" max="9487" width="22.28515625" style="281" customWidth="1"/>
    <col min="9488" max="9488" width="16.5703125" style="281" bestFit="1" customWidth="1"/>
    <col min="9489" max="9728" width="9.28515625" style="281"/>
    <col min="9729" max="9729" width="6.85546875" style="281" customWidth="1"/>
    <col min="9730" max="9730" width="62.42578125" style="281" customWidth="1"/>
    <col min="9731" max="9731" width="29.7109375" style="281" customWidth="1"/>
    <col min="9732" max="9732" width="12.7109375" style="281" customWidth="1"/>
    <col min="9733" max="9733" width="9.42578125" style="281" customWidth="1"/>
    <col min="9734" max="9734" width="14.140625" style="281" customWidth="1"/>
    <col min="9735" max="9735" width="15.42578125" style="281" customWidth="1"/>
    <col min="9736" max="9736" width="20.42578125" style="281" customWidth="1"/>
    <col min="9737" max="9737" width="16.28515625" style="281" customWidth="1"/>
    <col min="9738" max="9738" width="19.42578125" style="281" customWidth="1"/>
    <col min="9739" max="9739" width="16.28515625" style="281" customWidth="1"/>
    <col min="9740" max="9740" width="21.85546875" style="281" customWidth="1"/>
    <col min="9741" max="9741" width="23.28515625" style="281" customWidth="1"/>
    <col min="9742" max="9742" width="20.42578125" style="281" customWidth="1"/>
    <col min="9743" max="9743" width="22.28515625" style="281" customWidth="1"/>
    <col min="9744" max="9744" width="16.5703125" style="281" bestFit="1" customWidth="1"/>
    <col min="9745" max="9984" width="9.28515625" style="281"/>
    <col min="9985" max="9985" width="6.85546875" style="281" customWidth="1"/>
    <col min="9986" max="9986" width="62.42578125" style="281" customWidth="1"/>
    <col min="9987" max="9987" width="29.7109375" style="281" customWidth="1"/>
    <col min="9988" max="9988" width="12.7109375" style="281" customWidth="1"/>
    <col min="9989" max="9989" width="9.42578125" style="281" customWidth="1"/>
    <col min="9990" max="9990" width="14.140625" style="281" customWidth="1"/>
    <col min="9991" max="9991" width="15.42578125" style="281" customWidth="1"/>
    <col min="9992" max="9992" width="20.42578125" style="281" customWidth="1"/>
    <col min="9993" max="9993" width="16.28515625" style="281" customWidth="1"/>
    <col min="9994" max="9994" width="19.42578125" style="281" customWidth="1"/>
    <col min="9995" max="9995" width="16.28515625" style="281" customWidth="1"/>
    <col min="9996" max="9996" width="21.85546875" style="281" customWidth="1"/>
    <col min="9997" max="9997" width="23.28515625" style="281" customWidth="1"/>
    <col min="9998" max="9998" width="20.42578125" style="281" customWidth="1"/>
    <col min="9999" max="9999" width="22.28515625" style="281" customWidth="1"/>
    <col min="10000" max="10000" width="16.5703125" style="281" bestFit="1" customWidth="1"/>
    <col min="10001" max="10240" width="9.28515625" style="281"/>
    <col min="10241" max="10241" width="6.85546875" style="281" customWidth="1"/>
    <col min="10242" max="10242" width="62.42578125" style="281" customWidth="1"/>
    <col min="10243" max="10243" width="29.7109375" style="281" customWidth="1"/>
    <col min="10244" max="10244" width="12.7109375" style="281" customWidth="1"/>
    <col min="10245" max="10245" width="9.42578125" style="281" customWidth="1"/>
    <col min="10246" max="10246" width="14.140625" style="281" customWidth="1"/>
    <col min="10247" max="10247" width="15.42578125" style="281" customWidth="1"/>
    <col min="10248" max="10248" width="20.42578125" style="281" customWidth="1"/>
    <col min="10249" max="10249" width="16.28515625" style="281" customWidth="1"/>
    <col min="10250" max="10250" width="19.42578125" style="281" customWidth="1"/>
    <col min="10251" max="10251" width="16.28515625" style="281" customWidth="1"/>
    <col min="10252" max="10252" width="21.85546875" style="281" customWidth="1"/>
    <col min="10253" max="10253" width="23.28515625" style="281" customWidth="1"/>
    <col min="10254" max="10254" width="20.42578125" style="281" customWidth="1"/>
    <col min="10255" max="10255" width="22.28515625" style="281" customWidth="1"/>
    <col min="10256" max="10256" width="16.5703125" style="281" bestFit="1" customWidth="1"/>
    <col min="10257" max="10496" width="9.28515625" style="281"/>
    <col min="10497" max="10497" width="6.85546875" style="281" customWidth="1"/>
    <col min="10498" max="10498" width="62.42578125" style="281" customWidth="1"/>
    <col min="10499" max="10499" width="29.7109375" style="281" customWidth="1"/>
    <col min="10500" max="10500" width="12.7109375" style="281" customWidth="1"/>
    <col min="10501" max="10501" width="9.42578125" style="281" customWidth="1"/>
    <col min="10502" max="10502" width="14.140625" style="281" customWidth="1"/>
    <col min="10503" max="10503" width="15.42578125" style="281" customWidth="1"/>
    <col min="10504" max="10504" width="20.42578125" style="281" customWidth="1"/>
    <col min="10505" max="10505" width="16.28515625" style="281" customWidth="1"/>
    <col min="10506" max="10506" width="19.42578125" style="281" customWidth="1"/>
    <col min="10507" max="10507" width="16.28515625" style="281" customWidth="1"/>
    <col min="10508" max="10508" width="21.85546875" style="281" customWidth="1"/>
    <col min="10509" max="10509" width="23.28515625" style="281" customWidth="1"/>
    <col min="10510" max="10510" width="20.42578125" style="281" customWidth="1"/>
    <col min="10511" max="10511" width="22.28515625" style="281" customWidth="1"/>
    <col min="10512" max="10512" width="16.5703125" style="281" bestFit="1" customWidth="1"/>
    <col min="10513" max="10752" width="9.28515625" style="281"/>
    <col min="10753" max="10753" width="6.85546875" style="281" customWidth="1"/>
    <col min="10754" max="10754" width="62.42578125" style="281" customWidth="1"/>
    <col min="10755" max="10755" width="29.7109375" style="281" customWidth="1"/>
    <col min="10756" max="10756" width="12.7109375" style="281" customWidth="1"/>
    <col min="10757" max="10757" width="9.42578125" style="281" customWidth="1"/>
    <col min="10758" max="10758" width="14.140625" style="281" customWidth="1"/>
    <col min="10759" max="10759" width="15.42578125" style="281" customWidth="1"/>
    <col min="10760" max="10760" width="20.42578125" style="281" customWidth="1"/>
    <col min="10761" max="10761" width="16.28515625" style="281" customWidth="1"/>
    <col min="10762" max="10762" width="19.42578125" style="281" customWidth="1"/>
    <col min="10763" max="10763" width="16.28515625" style="281" customWidth="1"/>
    <col min="10764" max="10764" width="21.85546875" style="281" customWidth="1"/>
    <col min="10765" max="10765" width="23.28515625" style="281" customWidth="1"/>
    <col min="10766" max="10766" width="20.42578125" style="281" customWidth="1"/>
    <col min="10767" max="10767" width="22.28515625" style="281" customWidth="1"/>
    <col min="10768" max="10768" width="16.5703125" style="281" bestFit="1" customWidth="1"/>
    <col min="10769" max="11008" width="9.28515625" style="281"/>
    <col min="11009" max="11009" width="6.85546875" style="281" customWidth="1"/>
    <col min="11010" max="11010" width="62.42578125" style="281" customWidth="1"/>
    <col min="11011" max="11011" width="29.7109375" style="281" customWidth="1"/>
    <col min="11012" max="11012" width="12.7109375" style="281" customWidth="1"/>
    <col min="11013" max="11013" width="9.42578125" style="281" customWidth="1"/>
    <col min="11014" max="11014" width="14.140625" style="281" customWidth="1"/>
    <col min="11015" max="11015" width="15.42578125" style="281" customWidth="1"/>
    <col min="11016" max="11016" width="20.42578125" style="281" customWidth="1"/>
    <col min="11017" max="11017" width="16.28515625" style="281" customWidth="1"/>
    <col min="11018" max="11018" width="19.42578125" style="281" customWidth="1"/>
    <col min="11019" max="11019" width="16.28515625" style="281" customWidth="1"/>
    <col min="11020" max="11020" width="21.85546875" style="281" customWidth="1"/>
    <col min="11021" max="11021" width="23.28515625" style="281" customWidth="1"/>
    <col min="11022" max="11022" width="20.42578125" style="281" customWidth="1"/>
    <col min="11023" max="11023" width="22.28515625" style="281" customWidth="1"/>
    <col min="11024" max="11024" width="16.5703125" style="281" bestFit="1" customWidth="1"/>
    <col min="11025" max="11264" width="9.28515625" style="281"/>
    <col min="11265" max="11265" width="6.85546875" style="281" customWidth="1"/>
    <col min="11266" max="11266" width="62.42578125" style="281" customWidth="1"/>
    <col min="11267" max="11267" width="29.7109375" style="281" customWidth="1"/>
    <col min="11268" max="11268" width="12.7109375" style="281" customWidth="1"/>
    <col min="11269" max="11269" width="9.42578125" style="281" customWidth="1"/>
    <col min="11270" max="11270" width="14.140625" style="281" customWidth="1"/>
    <col min="11271" max="11271" width="15.42578125" style="281" customWidth="1"/>
    <col min="11272" max="11272" width="20.42578125" style="281" customWidth="1"/>
    <col min="11273" max="11273" width="16.28515625" style="281" customWidth="1"/>
    <col min="11274" max="11274" width="19.42578125" style="281" customWidth="1"/>
    <col min="11275" max="11275" width="16.28515625" style="281" customWidth="1"/>
    <col min="11276" max="11276" width="21.85546875" style="281" customWidth="1"/>
    <col min="11277" max="11277" width="23.28515625" style="281" customWidth="1"/>
    <col min="11278" max="11278" width="20.42578125" style="281" customWidth="1"/>
    <col min="11279" max="11279" width="22.28515625" style="281" customWidth="1"/>
    <col min="11280" max="11280" width="16.5703125" style="281" bestFit="1" customWidth="1"/>
    <col min="11281" max="11520" width="9.28515625" style="281"/>
    <col min="11521" max="11521" width="6.85546875" style="281" customWidth="1"/>
    <col min="11522" max="11522" width="62.42578125" style="281" customWidth="1"/>
    <col min="11523" max="11523" width="29.7109375" style="281" customWidth="1"/>
    <col min="11524" max="11524" width="12.7109375" style="281" customWidth="1"/>
    <col min="11525" max="11525" width="9.42578125" style="281" customWidth="1"/>
    <col min="11526" max="11526" width="14.140625" style="281" customWidth="1"/>
    <col min="11527" max="11527" width="15.42578125" style="281" customWidth="1"/>
    <col min="11528" max="11528" width="20.42578125" style="281" customWidth="1"/>
    <col min="11529" max="11529" width="16.28515625" style="281" customWidth="1"/>
    <col min="11530" max="11530" width="19.42578125" style="281" customWidth="1"/>
    <col min="11531" max="11531" width="16.28515625" style="281" customWidth="1"/>
    <col min="11532" max="11532" width="21.85546875" style="281" customWidth="1"/>
    <col min="11533" max="11533" width="23.28515625" style="281" customWidth="1"/>
    <col min="11534" max="11534" width="20.42578125" style="281" customWidth="1"/>
    <col min="11535" max="11535" width="22.28515625" style="281" customWidth="1"/>
    <col min="11536" max="11536" width="16.5703125" style="281" bestFit="1" customWidth="1"/>
    <col min="11537" max="11776" width="9.28515625" style="281"/>
    <col min="11777" max="11777" width="6.85546875" style="281" customWidth="1"/>
    <col min="11778" max="11778" width="62.42578125" style="281" customWidth="1"/>
    <col min="11779" max="11779" width="29.7109375" style="281" customWidth="1"/>
    <col min="11780" max="11780" width="12.7109375" style="281" customWidth="1"/>
    <col min="11781" max="11781" width="9.42578125" style="281" customWidth="1"/>
    <col min="11782" max="11782" width="14.140625" style="281" customWidth="1"/>
    <col min="11783" max="11783" width="15.42578125" style="281" customWidth="1"/>
    <col min="11784" max="11784" width="20.42578125" style="281" customWidth="1"/>
    <col min="11785" max="11785" width="16.28515625" style="281" customWidth="1"/>
    <col min="11786" max="11786" width="19.42578125" style="281" customWidth="1"/>
    <col min="11787" max="11787" width="16.28515625" style="281" customWidth="1"/>
    <col min="11788" max="11788" width="21.85546875" style="281" customWidth="1"/>
    <col min="11789" max="11789" width="23.28515625" style="281" customWidth="1"/>
    <col min="11790" max="11790" width="20.42578125" style="281" customWidth="1"/>
    <col min="11791" max="11791" width="22.28515625" style="281" customWidth="1"/>
    <col min="11792" max="11792" width="16.5703125" style="281" bestFit="1" customWidth="1"/>
    <col min="11793" max="12032" width="9.28515625" style="281"/>
    <col min="12033" max="12033" width="6.85546875" style="281" customWidth="1"/>
    <col min="12034" max="12034" width="62.42578125" style="281" customWidth="1"/>
    <col min="12035" max="12035" width="29.7109375" style="281" customWidth="1"/>
    <col min="12036" max="12036" width="12.7109375" style="281" customWidth="1"/>
    <col min="12037" max="12037" width="9.42578125" style="281" customWidth="1"/>
    <col min="12038" max="12038" width="14.140625" style="281" customWidth="1"/>
    <col min="12039" max="12039" width="15.42578125" style="281" customWidth="1"/>
    <col min="12040" max="12040" width="20.42578125" style="281" customWidth="1"/>
    <col min="12041" max="12041" width="16.28515625" style="281" customWidth="1"/>
    <col min="12042" max="12042" width="19.42578125" style="281" customWidth="1"/>
    <col min="12043" max="12043" width="16.28515625" style="281" customWidth="1"/>
    <col min="12044" max="12044" width="21.85546875" style="281" customWidth="1"/>
    <col min="12045" max="12045" width="23.28515625" style="281" customWidth="1"/>
    <col min="12046" max="12046" width="20.42578125" style="281" customWidth="1"/>
    <col min="12047" max="12047" width="22.28515625" style="281" customWidth="1"/>
    <col min="12048" max="12048" width="16.5703125" style="281" bestFit="1" customWidth="1"/>
    <col min="12049" max="12288" width="9.28515625" style="281"/>
    <col min="12289" max="12289" width="6.85546875" style="281" customWidth="1"/>
    <col min="12290" max="12290" width="62.42578125" style="281" customWidth="1"/>
    <col min="12291" max="12291" width="29.7109375" style="281" customWidth="1"/>
    <col min="12292" max="12292" width="12.7109375" style="281" customWidth="1"/>
    <col min="12293" max="12293" width="9.42578125" style="281" customWidth="1"/>
    <col min="12294" max="12294" width="14.140625" style="281" customWidth="1"/>
    <col min="12295" max="12295" width="15.42578125" style="281" customWidth="1"/>
    <col min="12296" max="12296" width="20.42578125" style="281" customWidth="1"/>
    <col min="12297" max="12297" width="16.28515625" style="281" customWidth="1"/>
    <col min="12298" max="12298" width="19.42578125" style="281" customWidth="1"/>
    <col min="12299" max="12299" width="16.28515625" style="281" customWidth="1"/>
    <col min="12300" max="12300" width="21.85546875" style="281" customWidth="1"/>
    <col min="12301" max="12301" width="23.28515625" style="281" customWidth="1"/>
    <col min="12302" max="12302" width="20.42578125" style="281" customWidth="1"/>
    <col min="12303" max="12303" width="22.28515625" style="281" customWidth="1"/>
    <col min="12304" max="12304" width="16.5703125" style="281" bestFit="1" customWidth="1"/>
    <col min="12305" max="12544" width="9.28515625" style="281"/>
    <col min="12545" max="12545" width="6.85546875" style="281" customWidth="1"/>
    <col min="12546" max="12546" width="62.42578125" style="281" customWidth="1"/>
    <col min="12547" max="12547" width="29.7109375" style="281" customWidth="1"/>
    <col min="12548" max="12548" width="12.7109375" style="281" customWidth="1"/>
    <col min="12549" max="12549" width="9.42578125" style="281" customWidth="1"/>
    <col min="12550" max="12550" width="14.140625" style="281" customWidth="1"/>
    <col min="12551" max="12551" width="15.42578125" style="281" customWidth="1"/>
    <col min="12552" max="12552" width="20.42578125" style="281" customWidth="1"/>
    <col min="12553" max="12553" width="16.28515625" style="281" customWidth="1"/>
    <col min="12554" max="12554" width="19.42578125" style="281" customWidth="1"/>
    <col min="12555" max="12555" width="16.28515625" style="281" customWidth="1"/>
    <col min="12556" max="12556" width="21.85546875" style="281" customWidth="1"/>
    <col min="12557" max="12557" width="23.28515625" style="281" customWidth="1"/>
    <col min="12558" max="12558" width="20.42578125" style="281" customWidth="1"/>
    <col min="12559" max="12559" width="22.28515625" style="281" customWidth="1"/>
    <col min="12560" max="12560" width="16.5703125" style="281" bestFit="1" customWidth="1"/>
    <col min="12561" max="12800" width="9.28515625" style="281"/>
    <col min="12801" max="12801" width="6.85546875" style="281" customWidth="1"/>
    <col min="12802" max="12802" width="62.42578125" style="281" customWidth="1"/>
    <col min="12803" max="12803" width="29.7109375" style="281" customWidth="1"/>
    <col min="12804" max="12804" width="12.7109375" style="281" customWidth="1"/>
    <col min="12805" max="12805" width="9.42578125" style="281" customWidth="1"/>
    <col min="12806" max="12806" width="14.140625" style="281" customWidth="1"/>
    <col min="12807" max="12807" width="15.42578125" style="281" customWidth="1"/>
    <col min="12808" max="12808" width="20.42578125" style="281" customWidth="1"/>
    <col min="12809" max="12809" width="16.28515625" style="281" customWidth="1"/>
    <col min="12810" max="12810" width="19.42578125" style="281" customWidth="1"/>
    <col min="12811" max="12811" width="16.28515625" style="281" customWidth="1"/>
    <col min="12812" max="12812" width="21.85546875" style="281" customWidth="1"/>
    <col min="12813" max="12813" width="23.28515625" style="281" customWidth="1"/>
    <col min="12814" max="12814" width="20.42578125" style="281" customWidth="1"/>
    <col min="12815" max="12815" width="22.28515625" style="281" customWidth="1"/>
    <col min="12816" max="12816" width="16.5703125" style="281" bestFit="1" customWidth="1"/>
    <col min="12817" max="13056" width="9.28515625" style="281"/>
    <col min="13057" max="13057" width="6.85546875" style="281" customWidth="1"/>
    <col min="13058" max="13058" width="62.42578125" style="281" customWidth="1"/>
    <col min="13059" max="13059" width="29.7109375" style="281" customWidth="1"/>
    <col min="13060" max="13060" width="12.7109375" style="281" customWidth="1"/>
    <col min="13061" max="13061" width="9.42578125" style="281" customWidth="1"/>
    <col min="13062" max="13062" width="14.140625" style="281" customWidth="1"/>
    <col min="13063" max="13063" width="15.42578125" style="281" customWidth="1"/>
    <col min="13064" max="13064" width="20.42578125" style="281" customWidth="1"/>
    <col min="13065" max="13065" width="16.28515625" style="281" customWidth="1"/>
    <col min="13066" max="13066" width="19.42578125" style="281" customWidth="1"/>
    <col min="13067" max="13067" width="16.28515625" style="281" customWidth="1"/>
    <col min="13068" max="13068" width="21.85546875" style="281" customWidth="1"/>
    <col min="13069" max="13069" width="23.28515625" style="281" customWidth="1"/>
    <col min="13070" max="13070" width="20.42578125" style="281" customWidth="1"/>
    <col min="13071" max="13071" width="22.28515625" style="281" customWidth="1"/>
    <col min="13072" max="13072" width="16.5703125" style="281" bestFit="1" customWidth="1"/>
    <col min="13073" max="13312" width="9.28515625" style="281"/>
    <col min="13313" max="13313" width="6.85546875" style="281" customWidth="1"/>
    <col min="13314" max="13314" width="62.42578125" style="281" customWidth="1"/>
    <col min="13315" max="13315" width="29.7109375" style="281" customWidth="1"/>
    <col min="13316" max="13316" width="12.7109375" style="281" customWidth="1"/>
    <col min="13317" max="13317" width="9.42578125" style="281" customWidth="1"/>
    <col min="13318" max="13318" width="14.140625" style="281" customWidth="1"/>
    <col min="13319" max="13319" width="15.42578125" style="281" customWidth="1"/>
    <col min="13320" max="13320" width="20.42578125" style="281" customWidth="1"/>
    <col min="13321" max="13321" width="16.28515625" style="281" customWidth="1"/>
    <col min="13322" max="13322" width="19.42578125" style="281" customWidth="1"/>
    <col min="13323" max="13323" width="16.28515625" style="281" customWidth="1"/>
    <col min="13324" max="13324" width="21.85546875" style="281" customWidth="1"/>
    <col min="13325" max="13325" width="23.28515625" style="281" customWidth="1"/>
    <col min="13326" max="13326" width="20.42578125" style="281" customWidth="1"/>
    <col min="13327" max="13327" width="22.28515625" style="281" customWidth="1"/>
    <col min="13328" max="13328" width="16.5703125" style="281" bestFit="1" customWidth="1"/>
    <col min="13329" max="13568" width="9.28515625" style="281"/>
    <col min="13569" max="13569" width="6.85546875" style="281" customWidth="1"/>
    <col min="13570" max="13570" width="62.42578125" style="281" customWidth="1"/>
    <col min="13571" max="13571" width="29.7109375" style="281" customWidth="1"/>
    <col min="13572" max="13572" width="12.7109375" style="281" customWidth="1"/>
    <col min="13573" max="13573" width="9.42578125" style="281" customWidth="1"/>
    <col min="13574" max="13574" width="14.140625" style="281" customWidth="1"/>
    <col min="13575" max="13575" width="15.42578125" style="281" customWidth="1"/>
    <col min="13576" max="13576" width="20.42578125" style="281" customWidth="1"/>
    <col min="13577" max="13577" width="16.28515625" style="281" customWidth="1"/>
    <col min="13578" max="13578" width="19.42578125" style="281" customWidth="1"/>
    <col min="13579" max="13579" width="16.28515625" style="281" customWidth="1"/>
    <col min="13580" max="13580" width="21.85546875" style="281" customWidth="1"/>
    <col min="13581" max="13581" width="23.28515625" style="281" customWidth="1"/>
    <col min="13582" max="13582" width="20.42578125" style="281" customWidth="1"/>
    <col min="13583" max="13583" width="22.28515625" style="281" customWidth="1"/>
    <col min="13584" max="13584" width="16.5703125" style="281" bestFit="1" customWidth="1"/>
    <col min="13585" max="13824" width="9.28515625" style="281"/>
    <col min="13825" max="13825" width="6.85546875" style="281" customWidth="1"/>
    <col min="13826" max="13826" width="62.42578125" style="281" customWidth="1"/>
    <col min="13827" max="13827" width="29.7109375" style="281" customWidth="1"/>
    <col min="13828" max="13828" width="12.7109375" style="281" customWidth="1"/>
    <col min="13829" max="13829" width="9.42578125" style="281" customWidth="1"/>
    <col min="13830" max="13830" width="14.140625" style="281" customWidth="1"/>
    <col min="13831" max="13831" width="15.42578125" style="281" customWidth="1"/>
    <col min="13832" max="13832" width="20.42578125" style="281" customWidth="1"/>
    <col min="13833" max="13833" width="16.28515625" style="281" customWidth="1"/>
    <col min="13834" max="13834" width="19.42578125" style="281" customWidth="1"/>
    <col min="13835" max="13835" width="16.28515625" style="281" customWidth="1"/>
    <col min="13836" max="13836" width="21.85546875" style="281" customWidth="1"/>
    <col min="13837" max="13837" width="23.28515625" style="281" customWidth="1"/>
    <col min="13838" max="13838" width="20.42578125" style="281" customWidth="1"/>
    <col min="13839" max="13839" width="22.28515625" style="281" customWidth="1"/>
    <col min="13840" max="13840" width="16.5703125" style="281" bestFit="1" customWidth="1"/>
    <col min="13841" max="14080" width="9.28515625" style="281"/>
    <col min="14081" max="14081" width="6.85546875" style="281" customWidth="1"/>
    <col min="14082" max="14082" width="62.42578125" style="281" customWidth="1"/>
    <col min="14083" max="14083" width="29.7109375" style="281" customWidth="1"/>
    <col min="14084" max="14084" width="12.7109375" style="281" customWidth="1"/>
    <col min="14085" max="14085" width="9.42578125" style="281" customWidth="1"/>
    <col min="14086" max="14086" width="14.140625" style="281" customWidth="1"/>
    <col min="14087" max="14087" width="15.42578125" style="281" customWidth="1"/>
    <col min="14088" max="14088" width="20.42578125" style="281" customWidth="1"/>
    <col min="14089" max="14089" width="16.28515625" style="281" customWidth="1"/>
    <col min="14090" max="14090" width="19.42578125" style="281" customWidth="1"/>
    <col min="14091" max="14091" width="16.28515625" style="281" customWidth="1"/>
    <col min="14092" max="14092" width="21.85546875" style="281" customWidth="1"/>
    <col min="14093" max="14093" width="23.28515625" style="281" customWidth="1"/>
    <col min="14094" max="14094" width="20.42578125" style="281" customWidth="1"/>
    <col min="14095" max="14095" width="22.28515625" style="281" customWidth="1"/>
    <col min="14096" max="14096" width="16.5703125" style="281" bestFit="1" customWidth="1"/>
    <col min="14097" max="14336" width="9.28515625" style="281"/>
    <col min="14337" max="14337" width="6.85546875" style="281" customWidth="1"/>
    <col min="14338" max="14338" width="62.42578125" style="281" customWidth="1"/>
    <col min="14339" max="14339" width="29.7109375" style="281" customWidth="1"/>
    <col min="14340" max="14340" width="12.7109375" style="281" customWidth="1"/>
    <col min="14341" max="14341" width="9.42578125" style="281" customWidth="1"/>
    <col min="14342" max="14342" width="14.140625" style="281" customWidth="1"/>
    <col min="14343" max="14343" width="15.42578125" style="281" customWidth="1"/>
    <col min="14344" max="14344" width="20.42578125" style="281" customWidth="1"/>
    <col min="14345" max="14345" width="16.28515625" style="281" customWidth="1"/>
    <col min="14346" max="14346" width="19.42578125" style="281" customWidth="1"/>
    <col min="14347" max="14347" width="16.28515625" style="281" customWidth="1"/>
    <col min="14348" max="14348" width="21.85546875" style="281" customWidth="1"/>
    <col min="14349" max="14349" width="23.28515625" style="281" customWidth="1"/>
    <col min="14350" max="14350" width="20.42578125" style="281" customWidth="1"/>
    <col min="14351" max="14351" width="22.28515625" style="281" customWidth="1"/>
    <col min="14352" max="14352" width="16.5703125" style="281" bestFit="1" customWidth="1"/>
    <col min="14353" max="14592" width="9.28515625" style="281"/>
    <col min="14593" max="14593" width="6.85546875" style="281" customWidth="1"/>
    <col min="14594" max="14594" width="62.42578125" style="281" customWidth="1"/>
    <col min="14595" max="14595" width="29.7109375" style="281" customWidth="1"/>
    <col min="14596" max="14596" width="12.7109375" style="281" customWidth="1"/>
    <col min="14597" max="14597" width="9.42578125" style="281" customWidth="1"/>
    <col min="14598" max="14598" width="14.140625" style="281" customWidth="1"/>
    <col min="14599" max="14599" width="15.42578125" style="281" customWidth="1"/>
    <col min="14600" max="14600" width="20.42578125" style="281" customWidth="1"/>
    <col min="14601" max="14601" width="16.28515625" style="281" customWidth="1"/>
    <col min="14602" max="14602" width="19.42578125" style="281" customWidth="1"/>
    <col min="14603" max="14603" width="16.28515625" style="281" customWidth="1"/>
    <col min="14604" max="14604" width="21.85546875" style="281" customWidth="1"/>
    <col min="14605" max="14605" width="23.28515625" style="281" customWidth="1"/>
    <col min="14606" max="14606" width="20.42578125" style="281" customWidth="1"/>
    <col min="14607" max="14607" width="22.28515625" style="281" customWidth="1"/>
    <col min="14608" max="14608" width="16.5703125" style="281" bestFit="1" customWidth="1"/>
    <col min="14609" max="14848" width="9.28515625" style="281"/>
    <col min="14849" max="14849" width="6.85546875" style="281" customWidth="1"/>
    <col min="14850" max="14850" width="62.42578125" style="281" customWidth="1"/>
    <col min="14851" max="14851" width="29.7109375" style="281" customWidth="1"/>
    <col min="14852" max="14852" width="12.7109375" style="281" customWidth="1"/>
    <col min="14853" max="14853" width="9.42578125" style="281" customWidth="1"/>
    <col min="14854" max="14854" width="14.140625" style="281" customWidth="1"/>
    <col min="14855" max="14855" width="15.42578125" style="281" customWidth="1"/>
    <col min="14856" max="14856" width="20.42578125" style="281" customWidth="1"/>
    <col min="14857" max="14857" width="16.28515625" style="281" customWidth="1"/>
    <col min="14858" max="14858" width="19.42578125" style="281" customWidth="1"/>
    <col min="14859" max="14859" width="16.28515625" style="281" customWidth="1"/>
    <col min="14860" max="14860" width="21.85546875" style="281" customWidth="1"/>
    <col min="14861" max="14861" width="23.28515625" style="281" customWidth="1"/>
    <col min="14862" max="14862" width="20.42578125" style="281" customWidth="1"/>
    <col min="14863" max="14863" width="22.28515625" style="281" customWidth="1"/>
    <col min="14864" max="14864" width="16.5703125" style="281" bestFit="1" customWidth="1"/>
    <col min="14865" max="15104" width="9.28515625" style="281"/>
    <col min="15105" max="15105" width="6.85546875" style="281" customWidth="1"/>
    <col min="15106" max="15106" width="62.42578125" style="281" customWidth="1"/>
    <col min="15107" max="15107" width="29.7109375" style="281" customWidth="1"/>
    <col min="15108" max="15108" width="12.7109375" style="281" customWidth="1"/>
    <col min="15109" max="15109" width="9.42578125" style="281" customWidth="1"/>
    <col min="15110" max="15110" width="14.140625" style="281" customWidth="1"/>
    <col min="15111" max="15111" width="15.42578125" style="281" customWidth="1"/>
    <col min="15112" max="15112" width="20.42578125" style="281" customWidth="1"/>
    <col min="15113" max="15113" width="16.28515625" style="281" customWidth="1"/>
    <col min="15114" max="15114" width="19.42578125" style="281" customWidth="1"/>
    <col min="15115" max="15115" width="16.28515625" style="281" customWidth="1"/>
    <col min="15116" max="15116" width="21.85546875" style="281" customWidth="1"/>
    <col min="15117" max="15117" width="23.28515625" style="281" customWidth="1"/>
    <col min="15118" max="15118" width="20.42578125" style="281" customWidth="1"/>
    <col min="15119" max="15119" width="22.28515625" style="281" customWidth="1"/>
    <col min="15120" max="15120" width="16.5703125" style="281" bestFit="1" customWidth="1"/>
    <col min="15121" max="15360" width="9.28515625" style="281"/>
    <col min="15361" max="15361" width="6.85546875" style="281" customWidth="1"/>
    <col min="15362" max="15362" width="62.42578125" style="281" customWidth="1"/>
    <col min="15363" max="15363" width="29.7109375" style="281" customWidth="1"/>
    <col min="15364" max="15364" width="12.7109375" style="281" customWidth="1"/>
    <col min="15365" max="15365" width="9.42578125" style="281" customWidth="1"/>
    <col min="15366" max="15366" width="14.140625" style="281" customWidth="1"/>
    <col min="15367" max="15367" width="15.42578125" style="281" customWidth="1"/>
    <col min="15368" max="15368" width="20.42578125" style="281" customWidth="1"/>
    <col min="15369" max="15369" width="16.28515625" style="281" customWidth="1"/>
    <col min="15370" max="15370" width="19.42578125" style="281" customWidth="1"/>
    <col min="15371" max="15371" width="16.28515625" style="281" customWidth="1"/>
    <col min="15372" max="15372" width="21.85546875" style="281" customWidth="1"/>
    <col min="15373" max="15373" width="23.28515625" style="281" customWidth="1"/>
    <col min="15374" max="15374" width="20.42578125" style="281" customWidth="1"/>
    <col min="15375" max="15375" width="22.28515625" style="281" customWidth="1"/>
    <col min="15376" max="15376" width="16.5703125" style="281" bestFit="1" customWidth="1"/>
    <col min="15377" max="15616" width="9.28515625" style="281"/>
    <col min="15617" max="15617" width="6.85546875" style="281" customWidth="1"/>
    <col min="15618" max="15618" width="62.42578125" style="281" customWidth="1"/>
    <col min="15619" max="15619" width="29.7109375" style="281" customWidth="1"/>
    <col min="15620" max="15620" width="12.7109375" style="281" customWidth="1"/>
    <col min="15621" max="15621" width="9.42578125" style="281" customWidth="1"/>
    <col min="15622" max="15622" width="14.140625" style="281" customWidth="1"/>
    <col min="15623" max="15623" width="15.42578125" style="281" customWidth="1"/>
    <col min="15624" max="15624" width="20.42578125" style="281" customWidth="1"/>
    <col min="15625" max="15625" width="16.28515625" style="281" customWidth="1"/>
    <col min="15626" max="15626" width="19.42578125" style="281" customWidth="1"/>
    <col min="15627" max="15627" width="16.28515625" style="281" customWidth="1"/>
    <col min="15628" max="15628" width="21.85546875" style="281" customWidth="1"/>
    <col min="15629" max="15629" width="23.28515625" style="281" customWidth="1"/>
    <col min="15630" max="15630" width="20.42578125" style="281" customWidth="1"/>
    <col min="15631" max="15631" width="22.28515625" style="281" customWidth="1"/>
    <col min="15632" max="15632" width="16.5703125" style="281" bestFit="1" customWidth="1"/>
    <col min="15633" max="15872" width="9.28515625" style="281"/>
    <col min="15873" max="15873" width="6.85546875" style="281" customWidth="1"/>
    <col min="15874" max="15874" width="62.42578125" style="281" customWidth="1"/>
    <col min="15875" max="15875" width="29.7109375" style="281" customWidth="1"/>
    <col min="15876" max="15876" width="12.7109375" style="281" customWidth="1"/>
    <col min="15877" max="15877" width="9.42578125" style="281" customWidth="1"/>
    <col min="15878" max="15878" width="14.140625" style="281" customWidth="1"/>
    <col min="15879" max="15879" width="15.42578125" style="281" customWidth="1"/>
    <col min="15880" max="15880" width="20.42578125" style="281" customWidth="1"/>
    <col min="15881" max="15881" width="16.28515625" style="281" customWidth="1"/>
    <col min="15882" max="15882" width="19.42578125" style="281" customWidth="1"/>
    <col min="15883" max="15883" width="16.28515625" style="281" customWidth="1"/>
    <col min="15884" max="15884" width="21.85546875" style="281" customWidth="1"/>
    <col min="15885" max="15885" width="23.28515625" style="281" customWidth="1"/>
    <col min="15886" max="15886" width="20.42578125" style="281" customWidth="1"/>
    <col min="15887" max="15887" width="22.28515625" style="281" customWidth="1"/>
    <col min="15888" max="15888" width="16.5703125" style="281" bestFit="1" customWidth="1"/>
    <col min="15889" max="16128" width="9.28515625" style="281"/>
    <col min="16129" max="16129" width="6.85546875" style="281" customWidth="1"/>
    <col min="16130" max="16130" width="62.42578125" style="281" customWidth="1"/>
    <col min="16131" max="16131" width="29.7109375" style="281" customWidth="1"/>
    <col min="16132" max="16132" width="12.7109375" style="281" customWidth="1"/>
    <col min="16133" max="16133" width="9.42578125" style="281" customWidth="1"/>
    <col min="16134" max="16134" width="14.140625" style="281" customWidth="1"/>
    <col min="16135" max="16135" width="15.42578125" style="281" customWidth="1"/>
    <col min="16136" max="16136" width="20.42578125" style="281" customWidth="1"/>
    <col min="16137" max="16137" width="16.28515625" style="281" customWidth="1"/>
    <col min="16138" max="16138" width="19.42578125" style="281" customWidth="1"/>
    <col min="16139" max="16139" width="16.28515625" style="281" customWidth="1"/>
    <col min="16140" max="16140" width="21.85546875" style="281" customWidth="1"/>
    <col min="16141" max="16141" width="23.28515625" style="281" customWidth="1"/>
    <col min="16142" max="16142" width="20.42578125" style="281" customWidth="1"/>
    <col min="16143" max="16143" width="22.28515625" style="281" customWidth="1"/>
    <col min="16144" max="16144" width="16.5703125" style="281" bestFit="1" customWidth="1"/>
    <col min="16145" max="16384" width="9.28515625" style="281"/>
  </cols>
  <sheetData>
    <row r="1" spans="1:17" ht="122.25" customHeight="1" x14ac:dyDescent="0.2">
      <c r="M1" s="1024" t="s">
        <v>492</v>
      </c>
      <c r="N1" s="1024"/>
      <c r="O1" s="1024"/>
    </row>
    <row r="2" spans="1:17" s="501" customFormat="1" ht="48.75" customHeight="1" x14ac:dyDescent="0.2">
      <c r="A2" s="500"/>
      <c r="B2" s="1025" t="s">
        <v>371</v>
      </c>
      <c r="C2" s="1025"/>
      <c r="D2" s="1025"/>
      <c r="E2" s="1025"/>
      <c r="F2" s="1025"/>
      <c r="G2" s="1025"/>
      <c r="H2" s="1025"/>
      <c r="I2" s="1025"/>
      <c r="J2" s="1025"/>
      <c r="K2" s="1025"/>
      <c r="L2" s="1025"/>
      <c r="M2" s="1025"/>
      <c r="N2" s="1025"/>
      <c r="O2" s="1025"/>
    </row>
    <row r="3" spans="1:17" s="501" customFormat="1" ht="18.75" customHeight="1" x14ac:dyDescent="0.2">
      <c r="A3" s="502"/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3"/>
      <c r="O3" s="504"/>
    </row>
    <row r="4" spans="1:17" s="501" customFormat="1" ht="16.899999999999999" customHeight="1" x14ac:dyDescent="0.2">
      <c r="A4" s="878" t="s">
        <v>0</v>
      </c>
      <c r="B4" s="1026" t="s">
        <v>1</v>
      </c>
      <c r="C4" s="1018" t="s">
        <v>359</v>
      </c>
      <c r="D4" s="1028" t="s">
        <v>5</v>
      </c>
      <c r="E4" s="1028" t="s">
        <v>8</v>
      </c>
      <c r="F4" s="1018" t="s">
        <v>10</v>
      </c>
      <c r="G4" s="1017" t="s">
        <v>11</v>
      </c>
      <c r="H4" s="1017"/>
      <c r="I4" s="1017" t="s">
        <v>12</v>
      </c>
      <c r="J4" s="1017"/>
      <c r="K4" s="1017" t="s">
        <v>13</v>
      </c>
      <c r="L4" s="1017"/>
      <c r="M4" s="1030" t="s">
        <v>14</v>
      </c>
      <c r="N4" s="1017" t="s">
        <v>15</v>
      </c>
      <c r="O4" s="1018" t="s">
        <v>16</v>
      </c>
    </row>
    <row r="5" spans="1:17" s="501" customFormat="1" ht="87.6" customHeight="1" x14ac:dyDescent="0.2">
      <c r="A5" s="879"/>
      <c r="B5" s="1027"/>
      <c r="C5" s="1019"/>
      <c r="D5" s="1029"/>
      <c r="E5" s="1029"/>
      <c r="F5" s="1019"/>
      <c r="G5" s="1017"/>
      <c r="H5" s="1017"/>
      <c r="I5" s="1017"/>
      <c r="J5" s="1017"/>
      <c r="K5" s="1017"/>
      <c r="L5" s="1017"/>
      <c r="M5" s="1031"/>
      <c r="N5" s="1017"/>
      <c r="O5" s="1019"/>
    </row>
    <row r="6" spans="1:17" s="501" customFormat="1" ht="51.75" customHeight="1" x14ac:dyDescent="0.2">
      <c r="A6" s="879"/>
      <c r="B6" s="1027"/>
      <c r="C6" s="1019"/>
      <c r="D6" s="1029"/>
      <c r="E6" s="1029"/>
      <c r="F6" s="1019"/>
      <c r="G6" s="758" t="s">
        <v>321</v>
      </c>
      <c r="H6" s="757" t="s">
        <v>17</v>
      </c>
      <c r="I6" s="758" t="s">
        <v>321</v>
      </c>
      <c r="J6" s="758" t="s">
        <v>17</v>
      </c>
      <c r="K6" s="758" t="s">
        <v>321</v>
      </c>
      <c r="L6" s="758" t="s">
        <v>17</v>
      </c>
      <c r="M6" s="758" t="s">
        <v>17</v>
      </c>
      <c r="N6" s="758" t="s">
        <v>17</v>
      </c>
      <c r="O6" s="1019"/>
    </row>
    <row r="7" spans="1:17" s="501" customFormat="1" ht="20.25" customHeight="1" x14ac:dyDescent="0.2">
      <c r="A7" s="7">
        <v>1</v>
      </c>
      <c r="B7" s="505">
        <v>2</v>
      </c>
      <c r="C7" s="505">
        <v>5</v>
      </c>
      <c r="D7" s="505">
        <v>4</v>
      </c>
      <c r="E7" s="505">
        <v>5</v>
      </c>
      <c r="F7" s="505">
        <v>6</v>
      </c>
      <c r="G7" s="505">
        <v>7</v>
      </c>
      <c r="H7" s="505">
        <v>8</v>
      </c>
      <c r="I7" s="505">
        <v>9</v>
      </c>
      <c r="J7" s="505">
        <v>10</v>
      </c>
      <c r="K7" s="505">
        <v>11</v>
      </c>
      <c r="L7" s="505">
        <v>12</v>
      </c>
      <c r="M7" s="505">
        <v>13</v>
      </c>
      <c r="N7" s="505">
        <v>14</v>
      </c>
      <c r="O7" s="505">
        <v>15</v>
      </c>
    </row>
    <row r="8" spans="1:17" s="510" customFormat="1" ht="56.25" customHeight="1" x14ac:dyDescent="0.2">
      <c r="A8" s="506" t="s">
        <v>18</v>
      </c>
      <c r="B8" s="1022" t="s">
        <v>360</v>
      </c>
      <c r="C8" s="1022"/>
      <c r="D8" s="1022"/>
      <c r="E8" s="1023" t="s">
        <v>20</v>
      </c>
      <c r="F8" s="1023"/>
      <c r="G8" s="507">
        <f>G10+G11+G14+G16+G18+G19</f>
        <v>34.264000000000003</v>
      </c>
      <c r="H8" s="507">
        <f>H10+H11+H14+H16+H18+H19+H20</f>
        <v>954880.82299999997</v>
      </c>
      <c r="I8" s="507">
        <f>SUBTOTAL(9,I10:I21)</f>
        <v>65.647999999999996</v>
      </c>
      <c r="J8" s="507">
        <f>SUBTOTAL(9,J10:J21)</f>
        <v>1437737.01455</v>
      </c>
      <c r="K8" s="507">
        <f>SUBTOTAL(9,K10:K21)</f>
        <v>25.505000000000003</v>
      </c>
      <c r="L8" s="507">
        <f>SUBTOTAL(9,L10:L21)</f>
        <v>430920.38415124698</v>
      </c>
      <c r="M8" s="507">
        <f>M9+M10+M11+M13+M14+M15+M16+M17+M18+M19+M20+M21</f>
        <v>3233449.0301512466</v>
      </c>
      <c r="N8" s="508" t="s">
        <v>21</v>
      </c>
      <c r="O8" s="509"/>
    </row>
    <row r="9" spans="1:17" s="510" customFormat="1" ht="56.25" hidden="1" customHeight="1" x14ac:dyDescent="0.2">
      <c r="A9" s="181">
        <v>1</v>
      </c>
      <c r="B9" s="612" t="s">
        <v>370</v>
      </c>
      <c r="C9" s="608" t="s">
        <v>145</v>
      </c>
      <c r="D9" s="607" t="s">
        <v>45</v>
      </c>
      <c r="E9" s="609">
        <v>2</v>
      </c>
      <c r="F9" s="609" t="s">
        <v>51</v>
      </c>
      <c r="G9" s="610">
        <v>4</v>
      </c>
      <c r="H9" s="610">
        <v>132738.723</v>
      </c>
      <c r="I9" s="610"/>
      <c r="J9" s="610"/>
      <c r="K9" s="610"/>
      <c r="L9" s="610"/>
      <c r="M9" s="610">
        <f>H9+J9+L9</f>
        <v>132738.723</v>
      </c>
      <c r="N9" s="613">
        <f>(H9+J9+L9)/(G9+I9+K9)</f>
        <v>33184.68075</v>
      </c>
      <c r="O9" s="611"/>
    </row>
    <row r="10" spans="1:17" s="9" customFormat="1" ht="56.25" customHeight="1" x14ac:dyDescent="0.2">
      <c r="A10" s="339">
        <v>1</v>
      </c>
      <c r="B10" s="206" t="s">
        <v>207</v>
      </c>
      <c r="C10" s="196" t="s">
        <v>145</v>
      </c>
      <c r="D10" s="511" t="s">
        <v>45</v>
      </c>
      <c r="E10" s="174">
        <v>2</v>
      </c>
      <c r="F10" s="210" t="s">
        <v>51</v>
      </c>
      <c r="G10" s="217">
        <v>9.9440000000000008</v>
      </c>
      <c r="H10" s="216">
        <v>255500</v>
      </c>
      <c r="I10" s="217">
        <v>10.351000000000001</v>
      </c>
      <c r="J10" s="216">
        <v>264953.5</v>
      </c>
      <c r="K10" s="217">
        <v>9.5050000000000008</v>
      </c>
      <c r="L10" s="216">
        <f>Q10*K10</f>
        <v>244220.38415124698</v>
      </c>
      <c r="M10" s="213">
        <f>H10+J10+L10</f>
        <v>764673.88415124698</v>
      </c>
      <c r="N10" s="213">
        <f>(H10+J10+L10)/(G10+I10+K10)</f>
        <v>25660.197454739828</v>
      </c>
      <c r="O10" s="512"/>
      <c r="Q10" s="9">
        <f>H10/G10</f>
        <v>25693.885760257439</v>
      </c>
    </row>
    <row r="11" spans="1:17" s="9" customFormat="1" ht="56.25" customHeight="1" x14ac:dyDescent="0.2">
      <c r="A11" s="339">
        <v>2</v>
      </c>
      <c r="B11" s="513" t="s">
        <v>466</v>
      </c>
      <c r="C11" s="170" t="s">
        <v>133</v>
      </c>
      <c r="D11" s="511" t="s">
        <v>45</v>
      </c>
      <c r="E11" s="222">
        <v>2</v>
      </c>
      <c r="F11" s="271">
        <v>2021</v>
      </c>
      <c r="G11" s="272">
        <v>4</v>
      </c>
      <c r="H11" s="272">
        <v>132738.723</v>
      </c>
      <c r="I11" s="217"/>
      <c r="J11" s="273"/>
      <c r="K11" s="273"/>
      <c r="L11" s="273"/>
      <c r="M11" s="273">
        <f>H11+J11+L11</f>
        <v>132738.723</v>
      </c>
      <c r="N11" s="273">
        <f>M11/(G11+I11+K11)</f>
        <v>33184.68075</v>
      </c>
      <c r="O11" s="791"/>
      <c r="P11" s="9">
        <v>360000</v>
      </c>
    </row>
    <row r="12" spans="1:17" s="9" customFormat="1" ht="56.25" customHeight="1" x14ac:dyDescent="0.2">
      <c r="A12" s="339">
        <v>3</v>
      </c>
      <c r="B12" s="513" t="s">
        <v>467</v>
      </c>
      <c r="C12" s="170" t="s">
        <v>133</v>
      </c>
      <c r="D12" s="511" t="s">
        <v>45</v>
      </c>
      <c r="E12" s="222">
        <v>2</v>
      </c>
      <c r="F12" s="271">
        <v>2022</v>
      </c>
      <c r="G12" s="272"/>
      <c r="H12" s="272"/>
      <c r="I12" s="217">
        <v>3.4</v>
      </c>
      <c r="J12" s="273">
        <f>N11*I12</f>
        <v>112827.91455</v>
      </c>
      <c r="K12" s="273"/>
      <c r="L12" s="273"/>
      <c r="M12" s="273">
        <f>J12</f>
        <v>112827.91455</v>
      </c>
      <c r="N12" s="273">
        <f>J12/I12</f>
        <v>33184.68075</v>
      </c>
      <c r="O12" s="791"/>
    </row>
    <row r="13" spans="1:17" s="9" customFormat="1" ht="56.25" customHeight="1" x14ac:dyDescent="0.2">
      <c r="A13" s="339">
        <v>4</v>
      </c>
      <c r="B13" s="514" t="s">
        <v>372</v>
      </c>
      <c r="C13" s="515" t="s">
        <v>145</v>
      </c>
      <c r="D13" s="321" t="s">
        <v>29</v>
      </c>
      <c r="E13" s="516">
        <v>2</v>
      </c>
      <c r="F13" s="517" t="s">
        <v>40</v>
      </c>
      <c r="G13" s="518"/>
      <c r="H13" s="519"/>
      <c r="I13" s="519">
        <v>15</v>
      </c>
      <c r="J13" s="519">
        <v>180000</v>
      </c>
      <c r="K13" s="519">
        <v>16</v>
      </c>
      <c r="L13" s="519">
        <v>186700</v>
      </c>
      <c r="M13" s="520">
        <v>366700</v>
      </c>
      <c r="N13" s="213">
        <f>(H13+J13+L13)/(G13+I13+K13)</f>
        <v>11829.032258064517</v>
      </c>
      <c r="O13" s="812" t="s">
        <v>491</v>
      </c>
    </row>
    <row r="14" spans="1:17" s="343" customFormat="1" ht="86.25" customHeight="1" x14ac:dyDescent="0.2">
      <c r="A14" s="521">
        <v>5</v>
      </c>
      <c r="B14" s="522" t="s">
        <v>312</v>
      </c>
      <c r="C14" s="200" t="s">
        <v>183</v>
      </c>
      <c r="D14" s="523" t="s">
        <v>45</v>
      </c>
      <c r="E14" s="521">
        <v>2</v>
      </c>
      <c r="F14" s="521">
        <v>2021</v>
      </c>
      <c r="G14" s="524">
        <v>4.2</v>
      </c>
      <c r="H14" s="524">
        <v>118058.2</v>
      </c>
      <c r="I14" s="524"/>
      <c r="J14" s="524"/>
      <c r="K14" s="524"/>
      <c r="L14" s="524"/>
      <c r="M14" s="525">
        <v>118058.2</v>
      </c>
      <c r="N14" s="526">
        <f>M14/G14</f>
        <v>28109.095238095237</v>
      </c>
      <c r="O14" s="320"/>
    </row>
    <row r="15" spans="1:17" s="343" customFormat="1" ht="86.25" customHeight="1" x14ac:dyDescent="0.2">
      <c r="A15" s="339">
        <v>6</v>
      </c>
      <c r="B15" s="204" t="s">
        <v>311</v>
      </c>
      <c r="C15" s="200" t="s">
        <v>183</v>
      </c>
      <c r="D15" s="527" t="s">
        <v>45</v>
      </c>
      <c r="E15" s="339">
        <v>2</v>
      </c>
      <c r="F15" s="339">
        <v>2022</v>
      </c>
      <c r="G15" s="342"/>
      <c r="H15" s="342"/>
      <c r="I15" s="342">
        <v>12.097</v>
      </c>
      <c r="J15" s="342">
        <v>315947.59999999998</v>
      </c>
      <c r="K15" s="342"/>
      <c r="L15" s="342"/>
      <c r="M15" s="520">
        <v>315947.59999999998</v>
      </c>
      <c r="N15" s="518">
        <f>M15/I15</f>
        <v>26117.847400181861</v>
      </c>
      <c r="O15" s="320"/>
    </row>
    <row r="16" spans="1:17" s="343" customFormat="1" ht="86.25" customHeight="1" x14ac:dyDescent="0.2">
      <c r="A16" s="339">
        <v>7</v>
      </c>
      <c r="B16" s="204" t="s">
        <v>313</v>
      </c>
      <c r="C16" s="200" t="s">
        <v>184</v>
      </c>
      <c r="D16" s="528" t="s">
        <v>45</v>
      </c>
      <c r="E16" s="339">
        <v>2</v>
      </c>
      <c r="F16" s="339">
        <v>2021</v>
      </c>
      <c r="G16" s="342">
        <v>5</v>
      </c>
      <c r="H16" s="342">
        <v>199197.5</v>
      </c>
      <c r="I16" s="342"/>
      <c r="J16" s="342"/>
      <c r="K16" s="342"/>
      <c r="L16" s="342"/>
      <c r="M16" s="520">
        <v>199197.5</v>
      </c>
      <c r="N16" s="518">
        <f>M16/G16</f>
        <v>39839.5</v>
      </c>
      <c r="O16" s="320"/>
    </row>
    <row r="17" spans="1:15" s="351" customFormat="1" ht="86.25" customHeight="1" x14ac:dyDescent="0.2">
      <c r="A17" s="344">
        <v>8</v>
      </c>
      <c r="B17" s="221" t="s">
        <v>314</v>
      </c>
      <c r="C17" s="200" t="s">
        <v>184</v>
      </c>
      <c r="D17" s="528" t="s">
        <v>45</v>
      </c>
      <c r="E17" s="344">
        <v>2</v>
      </c>
      <c r="F17" s="344">
        <v>2022</v>
      </c>
      <c r="G17" s="350"/>
      <c r="H17" s="350"/>
      <c r="I17" s="350">
        <v>6.7</v>
      </c>
      <c r="J17" s="350">
        <v>214210.8</v>
      </c>
      <c r="K17" s="350"/>
      <c r="L17" s="350"/>
      <c r="M17" s="518">
        <v>214210.8</v>
      </c>
      <c r="N17" s="518">
        <f>M17/I17</f>
        <v>31971.761194029848</v>
      </c>
      <c r="O17" s="347"/>
    </row>
    <row r="18" spans="1:15" s="351" customFormat="1" ht="86.25" customHeight="1" x14ac:dyDescent="0.2">
      <c r="A18" s="339">
        <v>9</v>
      </c>
      <c r="B18" s="221" t="s">
        <v>361</v>
      </c>
      <c r="C18" s="529" t="s">
        <v>362</v>
      </c>
      <c r="D18" s="528" t="s">
        <v>45</v>
      </c>
      <c r="E18" s="505">
        <v>2</v>
      </c>
      <c r="F18" s="530" t="s">
        <v>35</v>
      </c>
      <c r="G18" s="531">
        <v>1.93</v>
      </c>
      <c r="H18" s="532">
        <v>41260</v>
      </c>
      <c r="I18" s="532">
        <v>11.15</v>
      </c>
      <c r="J18" s="532">
        <v>238007</v>
      </c>
      <c r="K18" s="532"/>
      <c r="L18" s="532"/>
      <c r="M18" s="520">
        <f>H18+J18+L18</f>
        <v>279267</v>
      </c>
      <c r="N18" s="518">
        <f>M18/I18</f>
        <v>25046.367713004485</v>
      </c>
      <c r="O18" s="347"/>
    </row>
    <row r="19" spans="1:15" s="343" customFormat="1" ht="37.5" x14ac:dyDescent="0.2">
      <c r="A19" s="339">
        <v>10</v>
      </c>
      <c r="B19" s="204" t="s">
        <v>198</v>
      </c>
      <c r="C19" s="200" t="s">
        <v>199</v>
      </c>
      <c r="D19" s="528" t="s">
        <v>45</v>
      </c>
      <c r="E19" s="174">
        <v>2</v>
      </c>
      <c r="F19" s="210">
        <v>2021</v>
      </c>
      <c r="G19" s="217">
        <v>9.19</v>
      </c>
      <c r="H19" s="216">
        <v>130126.39999999999</v>
      </c>
      <c r="I19" s="217"/>
      <c r="J19" s="216"/>
      <c r="K19" s="213"/>
      <c r="L19" s="213"/>
      <c r="M19" s="273">
        <f>H19+J19+L19</f>
        <v>130126.39999999999</v>
      </c>
      <c r="N19" s="273">
        <f>M19/(G19+I19+K19)</f>
        <v>14159.564744287269</v>
      </c>
      <c r="O19" s="758"/>
    </row>
    <row r="20" spans="1:15" s="343" customFormat="1" ht="46.5" customHeight="1" thickBot="1" x14ac:dyDescent="0.25">
      <c r="A20" s="339">
        <v>11</v>
      </c>
      <c r="B20" s="533" t="s">
        <v>363</v>
      </c>
      <c r="C20" s="529" t="s">
        <v>364</v>
      </c>
      <c r="D20" s="789" t="s">
        <v>45</v>
      </c>
      <c r="E20" s="516">
        <v>2</v>
      </c>
      <c r="F20" s="517" t="s">
        <v>35</v>
      </c>
      <c r="G20" s="518"/>
      <c r="H20" s="519">
        <v>78000</v>
      </c>
      <c r="I20" s="519">
        <v>6.95</v>
      </c>
      <c r="J20" s="519">
        <v>111790.2</v>
      </c>
      <c r="K20" s="519"/>
      <c r="L20" s="790"/>
      <c r="M20" s="520">
        <f>H20+J20+L20</f>
        <v>189790.2</v>
      </c>
      <c r="N20" s="518">
        <f>M20/I20</f>
        <v>27307.942446043166</v>
      </c>
      <c r="O20" s="791"/>
    </row>
    <row r="21" spans="1:15" s="534" customFormat="1" ht="52.5" hidden="1" customHeight="1" x14ac:dyDescent="0.3">
      <c r="A21" s="174">
        <v>12</v>
      </c>
      <c r="B21" s="533" t="s">
        <v>365</v>
      </c>
      <c r="C21" s="248" t="s">
        <v>133</v>
      </c>
      <c r="D21" s="516" t="s">
        <v>290</v>
      </c>
      <c r="E21" s="174">
        <v>1</v>
      </c>
      <c r="F21" s="517" t="s">
        <v>35</v>
      </c>
      <c r="G21" s="183"/>
      <c r="H21" s="494"/>
      <c r="I21" s="183">
        <v>10</v>
      </c>
      <c r="J21" s="183">
        <v>130000</v>
      </c>
      <c r="K21" s="183">
        <v>20</v>
      </c>
      <c r="L21" s="183">
        <v>260000</v>
      </c>
      <c r="M21" s="614">
        <f>H21+J21+L21</f>
        <v>390000</v>
      </c>
      <c r="N21" s="614">
        <f>M21/(G21+I21)</f>
        <v>39000</v>
      </c>
      <c r="O21" s="214"/>
    </row>
    <row r="22" spans="1:15" s="534" customFormat="1" ht="56.25" hidden="1" x14ac:dyDescent="0.3">
      <c r="A22" s="222">
        <v>72</v>
      </c>
      <c r="B22" s="535" t="s">
        <v>217</v>
      </c>
      <c r="C22" s="170" t="s">
        <v>89</v>
      </c>
      <c r="D22" s="223">
        <v>5</v>
      </c>
      <c r="E22" s="225">
        <v>1</v>
      </c>
      <c r="F22" s="226"/>
      <c r="G22" s="536">
        <f>8/1000</f>
        <v>8.0000000000000002E-3</v>
      </c>
      <c r="H22" s="537">
        <v>4000</v>
      </c>
      <c r="I22" s="172"/>
      <c r="J22" s="102"/>
      <c r="K22" s="102"/>
      <c r="L22" s="102"/>
      <c r="M22" s="102">
        <f t="shared" ref="M22:M28" si="0">H22+J22+L22</f>
        <v>4000</v>
      </c>
      <c r="N22" s="102"/>
      <c r="O22" s="227"/>
    </row>
    <row r="23" spans="1:15" s="534" customFormat="1" ht="56.25" hidden="1" x14ac:dyDescent="0.3">
      <c r="A23" s="222">
        <v>73</v>
      </c>
      <c r="B23" s="204" t="s">
        <v>218</v>
      </c>
      <c r="C23" s="170" t="s">
        <v>79</v>
      </c>
      <c r="D23" s="223">
        <v>5</v>
      </c>
      <c r="E23" s="225">
        <v>1</v>
      </c>
      <c r="F23" s="226"/>
      <c r="G23" s="103"/>
      <c r="H23" s="103"/>
      <c r="I23" s="538">
        <f>25/1000</f>
        <v>2.5000000000000001E-2</v>
      </c>
      <c r="J23" s="229">
        <v>10000</v>
      </c>
      <c r="K23" s="102"/>
      <c r="L23" s="102"/>
      <c r="M23" s="102">
        <f t="shared" si="0"/>
        <v>10000</v>
      </c>
      <c r="N23" s="102"/>
      <c r="O23" s="227"/>
    </row>
    <row r="24" spans="1:15" s="534" customFormat="1" ht="56.25" hidden="1" x14ac:dyDescent="0.3">
      <c r="A24" s="222">
        <v>79</v>
      </c>
      <c r="B24" s="204" t="s">
        <v>219</v>
      </c>
      <c r="C24" s="170" t="s">
        <v>89</v>
      </c>
      <c r="D24" s="223">
        <v>4</v>
      </c>
      <c r="E24" s="225">
        <v>1</v>
      </c>
      <c r="F24" s="226"/>
      <c r="G24" s="539">
        <f>14.45/1000</f>
        <v>1.4449999999999999E-2</v>
      </c>
      <c r="H24" s="211">
        <v>8000</v>
      </c>
      <c r="I24" s="172"/>
      <c r="J24" s="102"/>
      <c r="K24" s="102"/>
      <c r="L24" s="102"/>
      <c r="M24" s="102">
        <f t="shared" si="0"/>
        <v>8000</v>
      </c>
      <c r="N24" s="102"/>
      <c r="O24" s="227"/>
    </row>
    <row r="25" spans="1:15" s="534" customFormat="1" ht="75" hidden="1" x14ac:dyDescent="0.3">
      <c r="A25" s="222">
        <v>91</v>
      </c>
      <c r="B25" s="206" t="s">
        <v>366</v>
      </c>
      <c r="C25" s="170" t="s">
        <v>74</v>
      </c>
      <c r="D25" s="223">
        <v>5</v>
      </c>
      <c r="E25" s="225">
        <v>1</v>
      </c>
      <c r="F25" s="226"/>
      <c r="G25" s="538">
        <f>14/1000</f>
        <v>1.4E-2</v>
      </c>
      <c r="H25" s="211">
        <v>8000</v>
      </c>
      <c r="I25" s="172"/>
      <c r="J25" s="102"/>
      <c r="K25" s="102"/>
      <c r="L25" s="102"/>
      <c r="M25" s="102">
        <f t="shared" si="0"/>
        <v>8000</v>
      </c>
      <c r="N25" s="102"/>
      <c r="O25" s="227"/>
    </row>
    <row r="26" spans="1:15" s="534" customFormat="1" ht="56.25" hidden="1" x14ac:dyDescent="0.3">
      <c r="A26" s="222">
        <v>92</v>
      </c>
      <c r="B26" s="206" t="s">
        <v>220</v>
      </c>
      <c r="C26" s="170" t="s">
        <v>221</v>
      </c>
      <c r="D26" s="223">
        <v>5</v>
      </c>
      <c r="E26" s="225">
        <v>1</v>
      </c>
      <c r="F26" s="226"/>
      <c r="G26" s="540">
        <f>25.7/1000</f>
        <v>2.5700000000000001E-2</v>
      </c>
      <c r="H26" s="211">
        <v>12000</v>
      </c>
      <c r="I26" s="172"/>
      <c r="J26" s="102"/>
      <c r="K26" s="102"/>
      <c r="L26" s="102"/>
      <c r="M26" s="102">
        <f t="shared" si="0"/>
        <v>12000</v>
      </c>
      <c r="N26" s="102"/>
      <c r="O26" s="227"/>
    </row>
    <row r="27" spans="1:15" s="534" customFormat="1" ht="75" hidden="1" x14ac:dyDescent="0.3">
      <c r="A27" s="222">
        <v>97</v>
      </c>
      <c r="B27" s="206" t="s">
        <v>222</v>
      </c>
      <c r="C27" s="170" t="s">
        <v>74</v>
      </c>
      <c r="D27" s="223">
        <v>3</v>
      </c>
      <c r="E27" s="225">
        <v>1</v>
      </c>
      <c r="F27" s="226"/>
      <c r="G27" s="103"/>
      <c r="H27" s="103"/>
      <c r="I27" s="541">
        <f>71.75/1000</f>
        <v>7.1749999999999994E-2</v>
      </c>
      <c r="J27" s="211">
        <v>6000</v>
      </c>
      <c r="K27" s="102"/>
      <c r="L27" s="102"/>
      <c r="M27" s="102">
        <f t="shared" si="0"/>
        <v>6000</v>
      </c>
      <c r="N27" s="102"/>
      <c r="O27" s="227"/>
    </row>
    <row r="28" spans="1:15" s="534" customFormat="1" ht="75" hidden="1" x14ac:dyDescent="0.3">
      <c r="A28" s="299">
        <v>104</v>
      </c>
      <c r="B28" s="258" t="s">
        <v>367</v>
      </c>
      <c r="C28" s="813" t="s">
        <v>131</v>
      </c>
      <c r="D28" s="814">
        <v>3</v>
      </c>
      <c r="E28" s="815">
        <v>2</v>
      </c>
      <c r="F28" s="816"/>
      <c r="G28" s="817"/>
      <c r="H28" s="817"/>
      <c r="I28" s="303"/>
      <c r="J28" s="485"/>
      <c r="K28" s="818">
        <f>125.5/1000</f>
        <v>0.1255</v>
      </c>
      <c r="L28" s="484">
        <v>20000</v>
      </c>
      <c r="M28" s="485">
        <f t="shared" si="0"/>
        <v>20000</v>
      </c>
      <c r="N28" s="485"/>
      <c r="O28" s="819"/>
    </row>
    <row r="29" spans="1:15" s="534" customFormat="1" ht="25.5" customHeight="1" thickBot="1" x14ac:dyDescent="0.35">
      <c r="A29" s="1020" t="s">
        <v>493</v>
      </c>
      <c r="B29" s="1021"/>
      <c r="C29" s="820"/>
      <c r="D29" s="821"/>
      <c r="E29" s="822"/>
      <c r="F29" s="823"/>
      <c r="G29" s="824">
        <f t="shared" ref="G29:M29" si="1">G8</f>
        <v>34.264000000000003</v>
      </c>
      <c r="H29" s="824">
        <f t="shared" si="1"/>
        <v>954880.82299999997</v>
      </c>
      <c r="I29" s="829">
        <f t="shared" si="1"/>
        <v>65.647999999999996</v>
      </c>
      <c r="J29" s="825">
        <f t="shared" si="1"/>
        <v>1437737.01455</v>
      </c>
      <c r="K29" s="826">
        <f t="shared" si="1"/>
        <v>25.505000000000003</v>
      </c>
      <c r="L29" s="827">
        <f t="shared" si="1"/>
        <v>430920.38415124698</v>
      </c>
      <c r="M29" s="825">
        <f t="shared" si="1"/>
        <v>3233449.0301512466</v>
      </c>
      <c r="N29" s="825"/>
      <c r="O29" s="828"/>
    </row>
    <row r="30" spans="1:15" s="534" customFormat="1" ht="18.75" x14ac:dyDescent="0.3">
      <c r="A30" s="615"/>
      <c r="B30" s="616"/>
      <c r="C30" s="617"/>
      <c r="D30" s="618"/>
      <c r="E30" s="619"/>
      <c r="F30" s="620"/>
      <c r="G30" s="621"/>
      <c r="H30" s="621"/>
      <c r="I30" s="622"/>
      <c r="J30" s="623"/>
      <c r="K30" s="626"/>
      <c r="L30" s="624"/>
      <c r="M30" s="623"/>
      <c r="N30" s="623"/>
      <c r="O30" s="625"/>
    </row>
    <row r="31" spans="1:15" ht="33.75" customHeight="1" x14ac:dyDescent="0.2"/>
    <row r="32" spans="1:15" s="547" customFormat="1" ht="20.25" x14ac:dyDescent="0.3">
      <c r="A32" s="545" t="s">
        <v>309</v>
      </c>
      <c r="B32" s="546"/>
      <c r="D32" s="546"/>
      <c r="E32" s="546"/>
      <c r="F32" s="546"/>
      <c r="G32" s="546"/>
      <c r="H32" s="546" t="s">
        <v>310</v>
      </c>
      <c r="I32" s="546"/>
      <c r="J32" s="546"/>
      <c r="K32" s="546"/>
      <c r="L32" s="546"/>
      <c r="M32" s="546"/>
      <c r="N32" s="548"/>
      <c r="O32" s="548"/>
    </row>
  </sheetData>
  <autoFilter ref="A7:O28">
    <filterColumn colId="1">
      <customFilters>
        <customFilter operator="notEqual" val="*мост*"/>
      </customFilters>
    </filterColumn>
  </autoFilter>
  <mergeCells count="17">
    <mergeCell ref="M1:O1"/>
    <mergeCell ref="B2:O2"/>
    <mergeCell ref="A4:A6"/>
    <mergeCell ref="B4:B6"/>
    <mergeCell ref="C4:C6"/>
    <mergeCell ref="D4:D6"/>
    <mergeCell ref="E4:E6"/>
    <mergeCell ref="F4:F6"/>
    <mergeCell ref="G4:H5"/>
    <mergeCell ref="I4:J5"/>
    <mergeCell ref="K4:L5"/>
    <mergeCell ref="M4:M5"/>
    <mergeCell ref="N4:N5"/>
    <mergeCell ref="O4:O6"/>
    <mergeCell ref="A29:B29"/>
    <mergeCell ref="B8:D8"/>
    <mergeCell ref="E8:F8"/>
  </mergeCells>
  <pageMargins left="0.39370078740157483" right="0.23622047244094491" top="0.55118110236220474" bottom="0.19685039370078741" header="0.31496062992125984" footer="0"/>
  <pageSetup paperSize="8" scale="45" fitToHeight="2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T110"/>
  <sheetViews>
    <sheetView zoomScale="55" zoomScaleNormal="55" zoomScaleSheetLayoutView="55" zoomScalePageLayoutView="55" workbookViewId="0">
      <selection activeCell="M13" sqref="M13:M14"/>
    </sheetView>
  </sheetViews>
  <sheetFormatPr defaultColWidth="8.85546875" defaultRowHeight="12.75" outlineLevelRow="1" x14ac:dyDescent="0.2"/>
  <cols>
    <col min="1" max="1" width="8" customWidth="1"/>
    <col min="2" max="2" width="6.42578125" hidden="1" customWidth="1"/>
    <col min="3" max="3" width="70.28515625" customWidth="1"/>
    <col min="4" max="4" width="13" customWidth="1"/>
    <col min="5" max="5" width="12.28515625" customWidth="1"/>
    <col min="6" max="6" width="13.28515625" customWidth="1"/>
    <col min="7" max="7" width="9.28515625" hidden="1" customWidth="1"/>
    <col min="8" max="8" width="15.42578125" hidden="1" customWidth="1"/>
    <col min="9" max="9" width="25.5703125" customWidth="1"/>
    <col min="10" max="10" width="68.85546875" hidden="1" customWidth="1"/>
    <col min="11" max="11" width="17" hidden="1" customWidth="1"/>
    <col min="12" max="12" width="19.42578125" customWidth="1"/>
    <col min="13" max="13" width="20.28515625" customWidth="1"/>
    <col min="14" max="14" width="19.42578125" customWidth="1"/>
    <col min="15" max="15" width="18.7109375" customWidth="1"/>
    <col min="16" max="16" width="18.7109375" hidden="1" customWidth="1"/>
    <col min="17" max="17" width="22.28515625" hidden="1" customWidth="1"/>
    <col min="18" max="18" width="14.7109375" hidden="1" customWidth="1"/>
    <col min="19" max="19" width="17.7109375" hidden="1" customWidth="1"/>
    <col min="20" max="20" width="15.85546875" hidden="1" customWidth="1"/>
    <col min="21" max="21" width="18.5703125" hidden="1" customWidth="1"/>
    <col min="22" max="22" width="20.42578125" hidden="1" customWidth="1"/>
    <col min="23" max="23" width="24.42578125" hidden="1" customWidth="1"/>
    <col min="24" max="24" width="19.7109375" hidden="1" customWidth="1"/>
    <col min="25" max="25" width="19.28515625" hidden="1" customWidth="1"/>
    <col min="26" max="26" width="27.7109375" hidden="1" customWidth="1"/>
    <col min="27" max="27" width="58.42578125" customWidth="1"/>
    <col min="28" max="28" width="53.42578125" customWidth="1"/>
    <col min="29" max="29" width="11.28515625" bestFit="1" customWidth="1"/>
    <col min="30" max="30" width="11" bestFit="1" customWidth="1"/>
    <col min="257" max="257" width="8" customWidth="1"/>
    <col min="258" max="258" width="0" hidden="1" customWidth="1"/>
    <col min="259" max="259" width="70.28515625" customWidth="1"/>
    <col min="260" max="260" width="13" customWidth="1"/>
    <col min="261" max="261" width="12.28515625" customWidth="1"/>
    <col min="262" max="262" width="13.28515625" customWidth="1"/>
    <col min="263" max="264" width="0" hidden="1" customWidth="1"/>
    <col min="265" max="265" width="25.5703125" customWidth="1"/>
    <col min="266" max="267" width="0" hidden="1" customWidth="1"/>
    <col min="268" max="268" width="19.42578125" customWidth="1"/>
    <col min="269" max="269" width="20.28515625" customWidth="1"/>
    <col min="270" max="272" width="18.7109375" customWidth="1"/>
    <col min="273" max="273" width="22.28515625" customWidth="1"/>
    <col min="274" max="274" width="14.7109375" customWidth="1"/>
    <col min="275" max="275" width="17.7109375" customWidth="1"/>
    <col min="276" max="279" width="0" hidden="1" customWidth="1"/>
    <col min="280" max="280" width="19.7109375" customWidth="1"/>
    <col min="281" max="281" width="19.28515625" customWidth="1"/>
    <col min="282" max="282" width="27.7109375" customWidth="1"/>
    <col min="283" max="283" width="34" customWidth="1"/>
    <col min="284" max="284" width="17.28515625" bestFit="1" customWidth="1"/>
    <col min="285" max="285" width="11.28515625" bestFit="1" customWidth="1"/>
    <col min="286" max="286" width="11" bestFit="1" customWidth="1"/>
    <col min="513" max="513" width="8" customWidth="1"/>
    <col min="514" max="514" width="0" hidden="1" customWidth="1"/>
    <col min="515" max="515" width="70.28515625" customWidth="1"/>
    <col min="516" max="516" width="13" customWidth="1"/>
    <col min="517" max="517" width="12.28515625" customWidth="1"/>
    <col min="518" max="518" width="13.28515625" customWidth="1"/>
    <col min="519" max="520" width="0" hidden="1" customWidth="1"/>
    <col min="521" max="521" width="25.5703125" customWidth="1"/>
    <col min="522" max="523" width="0" hidden="1" customWidth="1"/>
    <col min="524" max="524" width="19.42578125" customWidth="1"/>
    <col min="525" max="525" width="20.28515625" customWidth="1"/>
    <col min="526" max="528" width="18.7109375" customWidth="1"/>
    <col min="529" max="529" width="22.28515625" customWidth="1"/>
    <col min="530" max="530" width="14.7109375" customWidth="1"/>
    <col min="531" max="531" width="17.7109375" customWidth="1"/>
    <col min="532" max="535" width="0" hidden="1" customWidth="1"/>
    <col min="536" max="536" width="19.7109375" customWidth="1"/>
    <col min="537" max="537" width="19.28515625" customWidth="1"/>
    <col min="538" max="538" width="27.7109375" customWidth="1"/>
    <col min="539" max="539" width="34" customWidth="1"/>
    <col min="540" max="540" width="17.28515625" bestFit="1" customWidth="1"/>
    <col min="541" max="541" width="11.28515625" bestFit="1" customWidth="1"/>
    <col min="542" max="542" width="11" bestFit="1" customWidth="1"/>
    <col min="769" max="769" width="8" customWidth="1"/>
    <col min="770" max="770" width="0" hidden="1" customWidth="1"/>
    <col min="771" max="771" width="70.28515625" customWidth="1"/>
    <col min="772" max="772" width="13" customWidth="1"/>
    <col min="773" max="773" width="12.28515625" customWidth="1"/>
    <col min="774" max="774" width="13.28515625" customWidth="1"/>
    <col min="775" max="776" width="0" hidden="1" customWidth="1"/>
    <col min="777" max="777" width="25.5703125" customWidth="1"/>
    <col min="778" max="779" width="0" hidden="1" customWidth="1"/>
    <col min="780" max="780" width="19.42578125" customWidth="1"/>
    <col min="781" max="781" width="20.28515625" customWidth="1"/>
    <col min="782" max="784" width="18.7109375" customWidth="1"/>
    <col min="785" max="785" width="22.28515625" customWidth="1"/>
    <col min="786" max="786" width="14.7109375" customWidth="1"/>
    <col min="787" max="787" width="17.7109375" customWidth="1"/>
    <col min="788" max="791" width="0" hidden="1" customWidth="1"/>
    <col min="792" max="792" width="19.7109375" customWidth="1"/>
    <col min="793" max="793" width="19.28515625" customWidth="1"/>
    <col min="794" max="794" width="27.7109375" customWidth="1"/>
    <col min="795" max="795" width="34" customWidth="1"/>
    <col min="796" max="796" width="17.28515625" bestFit="1" customWidth="1"/>
    <col min="797" max="797" width="11.28515625" bestFit="1" customWidth="1"/>
    <col min="798" max="798" width="11" bestFit="1" customWidth="1"/>
    <col min="1025" max="1025" width="8" customWidth="1"/>
    <col min="1026" max="1026" width="0" hidden="1" customWidth="1"/>
    <col min="1027" max="1027" width="70.28515625" customWidth="1"/>
    <col min="1028" max="1028" width="13" customWidth="1"/>
    <col min="1029" max="1029" width="12.28515625" customWidth="1"/>
    <col min="1030" max="1030" width="13.28515625" customWidth="1"/>
    <col min="1031" max="1032" width="0" hidden="1" customWidth="1"/>
    <col min="1033" max="1033" width="25.5703125" customWidth="1"/>
    <col min="1034" max="1035" width="0" hidden="1" customWidth="1"/>
    <col min="1036" max="1036" width="19.42578125" customWidth="1"/>
    <col min="1037" max="1037" width="20.28515625" customWidth="1"/>
    <col min="1038" max="1040" width="18.7109375" customWidth="1"/>
    <col min="1041" max="1041" width="22.28515625" customWidth="1"/>
    <col min="1042" max="1042" width="14.7109375" customWidth="1"/>
    <col min="1043" max="1043" width="17.7109375" customWidth="1"/>
    <col min="1044" max="1047" width="0" hidden="1" customWidth="1"/>
    <col min="1048" max="1048" width="19.7109375" customWidth="1"/>
    <col min="1049" max="1049" width="19.28515625" customWidth="1"/>
    <col min="1050" max="1050" width="27.7109375" customWidth="1"/>
    <col min="1051" max="1051" width="34" customWidth="1"/>
    <col min="1052" max="1052" width="17.28515625" bestFit="1" customWidth="1"/>
    <col min="1053" max="1053" width="11.28515625" bestFit="1" customWidth="1"/>
    <col min="1054" max="1054" width="11" bestFit="1" customWidth="1"/>
    <col min="1281" max="1281" width="8" customWidth="1"/>
    <col min="1282" max="1282" width="0" hidden="1" customWidth="1"/>
    <col min="1283" max="1283" width="70.28515625" customWidth="1"/>
    <col min="1284" max="1284" width="13" customWidth="1"/>
    <col min="1285" max="1285" width="12.28515625" customWidth="1"/>
    <col min="1286" max="1286" width="13.28515625" customWidth="1"/>
    <col min="1287" max="1288" width="0" hidden="1" customWidth="1"/>
    <col min="1289" max="1289" width="25.5703125" customWidth="1"/>
    <col min="1290" max="1291" width="0" hidden="1" customWidth="1"/>
    <col min="1292" max="1292" width="19.42578125" customWidth="1"/>
    <col min="1293" max="1293" width="20.28515625" customWidth="1"/>
    <col min="1294" max="1296" width="18.7109375" customWidth="1"/>
    <col min="1297" max="1297" width="22.28515625" customWidth="1"/>
    <col min="1298" max="1298" width="14.7109375" customWidth="1"/>
    <col min="1299" max="1299" width="17.7109375" customWidth="1"/>
    <col min="1300" max="1303" width="0" hidden="1" customWidth="1"/>
    <col min="1304" max="1304" width="19.7109375" customWidth="1"/>
    <col min="1305" max="1305" width="19.28515625" customWidth="1"/>
    <col min="1306" max="1306" width="27.7109375" customWidth="1"/>
    <col min="1307" max="1307" width="34" customWidth="1"/>
    <col min="1308" max="1308" width="17.28515625" bestFit="1" customWidth="1"/>
    <col min="1309" max="1309" width="11.28515625" bestFit="1" customWidth="1"/>
    <col min="1310" max="1310" width="11" bestFit="1" customWidth="1"/>
    <col min="1537" max="1537" width="8" customWidth="1"/>
    <col min="1538" max="1538" width="0" hidden="1" customWidth="1"/>
    <col min="1539" max="1539" width="70.28515625" customWidth="1"/>
    <col min="1540" max="1540" width="13" customWidth="1"/>
    <col min="1541" max="1541" width="12.28515625" customWidth="1"/>
    <col min="1542" max="1542" width="13.28515625" customWidth="1"/>
    <col min="1543" max="1544" width="0" hidden="1" customWidth="1"/>
    <col min="1545" max="1545" width="25.5703125" customWidth="1"/>
    <col min="1546" max="1547" width="0" hidden="1" customWidth="1"/>
    <col min="1548" max="1548" width="19.42578125" customWidth="1"/>
    <col min="1549" max="1549" width="20.28515625" customWidth="1"/>
    <col min="1550" max="1552" width="18.7109375" customWidth="1"/>
    <col min="1553" max="1553" width="22.28515625" customWidth="1"/>
    <col min="1554" max="1554" width="14.7109375" customWidth="1"/>
    <col min="1555" max="1555" width="17.7109375" customWidth="1"/>
    <col min="1556" max="1559" width="0" hidden="1" customWidth="1"/>
    <col min="1560" max="1560" width="19.7109375" customWidth="1"/>
    <col min="1561" max="1561" width="19.28515625" customWidth="1"/>
    <col min="1562" max="1562" width="27.7109375" customWidth="1"/>
    <col min="1563" max="1563" width="34" customWidth="1"/>
    <col min="1564" max="1564" width="17.28515625" bestFit="1" customWidth="1"/>
    <col min="1565" max="1565" width="11.28515625" bestFit="1" customWidth="1"/>
    <col min="1566" max="1566" width="11" bestFit="1" customWidth="1"/>
    <col min="1793" max="1793" width="8" customWidth="1"/>
    <col min="1794" max="1794" width="0" hidden="1" customWidth="1"/>
    <col min="1795" max="1795" width="70.28515625" customWidth="1"/>
    <col min="1796" max="1796" width="13" customWidth="1"/>
    <col min="1797" max="1797" width="12.28515625" customWidth="1"/>
    <col min="1798" max="1798" width="13.28515625" customWidth="1"/>
    <col min="1799" max="1800" width="0" hidden="1" customWidth="1"/>
    <col min="1801" max="1801" width="25.5703125" customWidth="1"/>
    <col min="1802" max="1803" width="0" hidden="1" customWidth="1"/>
    <col min="1804" max="1804" width="19.42578125" customWidth="1"/>
    <col min="1805" max="1805" width="20.28515625" customWidth="1"/>
    <col min="1806" max="1808" width="18.7109375" customWidth="1"/>
    <col min="1809" max="1809" width="22.28515625" customWidth="1"/>
    <col min="1810" max="1810" width="14.7109375" customWidth="1"/>
    <col min="1811" max="1811" width="17.7109375" customWidth="1"/>
    <col min="1812" max="1815" width="0" hidden="1" customWidth="1"/>
    <col min="1816" max="1816" width="19.7109375" customWidth="1"/>
    <col min="1817" max="1817" width="19.28515625" customWidth="1"/>
    <col min="1818" max="1818" width="27.7109375" customWidth="1"/>
    <col min="1819" max="1819" width="34" customWidth="1"/>
    <col min="1820" max="1820" width="17.28515625" bestFit="1" customWidth="1"/>
    <col min="1821" max="1821" width="11.28515625" bestFit="1" customWidth="1"/>
    <col min="1822" max="1822" width="11" bestFit="1" customWidth="1"/>
    <col min="2049" max="2049" width="8" customWidth="1"/>
    <col min="2050" max="2050" width="0" hidden="1" customWidth="1"/>
    <col min="2051" max="2051" width="70.28515625" customWidth="1"/>
    <col min="2052" max="2052" width="13" customWidth="1"/>
    <col min="2053" max="2053" width="12.28515625" customWidth="1"/>
    <col min="2054" max="2054" width="13.28515625" customWidth="1"/>
    <col min="2055" max="2056" width="0" hidden="1" customWidth="1"/>
    <col min="2057" max="2057" width="25.5703125" customWidth="1"/>
    <col min="2058" max="2059" width="0" hidden="1" customWidth="1"/>
    <col min="2060" max="2060" width="19.42578125" customWidth="1"/>
    <col min="2061" max="2061" width="20.28515625" customWidth="1"/>
    <col min="2062" max="2064" width="18.7109375" customWidth="1"/>
    <col min="2065" max="2065" width="22.28515625" customWidth="1"/>
    <col min="2066" max="2066" width="14.7109375" customWidth="1"/>
    <col min="2067" max="2067" width="17.7109375" customWidth="1"/>
    <col min="2068" max="2071" width="0" hidden="1" customWidth="1"/>
    <col min="2072" max="2072" width="19.7109375" customWidth="1"/>
    <col min="2073" max="2073" width="19.28515625" customWidth="1"/>
    <col min="2074" max="2074" width="27.7109375" customWidth="1"/>
    <col min="2075" max="2075" width="34" customWidth="1"/>
    <col min="2076" max="2076" width="17.28515625" bestFit="1" customWidth="1"/>
    <col min="2077" max="2077" width="11.28515625" bestFit="1" customWidth="1"/>
    <col min="2078" max="2078" width="11" bestFit="1" customWidth="1"/>
    <col min="2305" max="2305" width="8" customWidth="1"/>
    <col min="2306" max="2306" width="0" hidden="1" customWidth="1"/>
    <col min="2307" max="2307" width="70.28515625" customWidth="1"/>
    <col min="2308" max="2308" width="13" customWidth="1"/>
    <col min="2309" max="2309" width="12.28515625" customWidth="1"/>
    <col min="2310" max="2310" width="13.28515625" customWidth="1"/>
    <col min="2311" max="2312" width="0" hidden="1" customWidth="1"/>
    <col min="2313" max="2313" width="25.5703125" customWidth="1"/>
    <col min="2314" max="2315" width="0" hidden="1" customWidth="1"/>
    <col min="2316" max="2316" width="19.42578125" customWidth="1"/>
    <col min="2317" max="2317" width="20.28515625" customWidth="1"/>
    <col min="2318" max="2320" width="18.7109375" customWidth="1"/>
    <col min="2321" max="2321" width="22.28515625" customWidth="1"/>
    <col min="2322" max="2322" width="14.7109375" customWidth="1"/>
    <col min="2323" max="2323" width="17.7109375" customWidth="1"/>
    <col min="2324" max="2327" width="0" hidden="1" customWidth="1"/>
    <col min="2328" max="2328" width="19.7109375" customWidth="1"/>
    <col min="2329" max="2329" width="19.28515625" customWidth="1"/>
    <col min="2330" max="2330" width="27.7109375" customWidth="1"/>
    <col min="2331" max="2331" width="34" customWidth="1"/>
    <col min="2332" max="2332" width="17.28515625" bestFit="1" customWidth="1"/>
    <col min="2333" max="2333" width="11.28515625" bestFit="1" customWidth="1"/>
    <col min="2334" max="2334" width="11" bestFit="1" customWidth="1"/>
    <col min="2561" max="2561" width="8" customWidth="1"/>
    <col min="2562" max="2562" width="0" hidden="1" customWidth="1"/>
    <col min="2563" max="2563" width="70.28515625" customWidth="1"/>
    <col min="2564" max="2564" width="13" customWidth="1"/>
    <col min="2565" max="2565" width="12.28515625" customWidth="1"/>
    <col min="2566" max="2566" width="13.28515625" customWidth="1"/>
    <col min="2567" max="2568" width="0" hidden="1" customWidth="1"/>
    <col min="2569" max="2569" width="25.5703125" customWidth="1"/>
    <col min="2570" max="2571" width="0" hidden="1" customWidth="1"/>
    <col min="2572" max="2572" width="19.42578125" customWidth="1"/>
    <col min="2573" max="2573" width="20.28515625" customWidth="1"/>
    <col min="2574" max="2576" width="18.7109375" customWidth="1"/>
    <col min="2577" max="2577" width="22.28515625" customWidth="1"/>
    <col min="2578" max="2578" width="14.7109375" customWidth="1"/>
    <col min="2579" max="2579" width="17.7109375" customWidth="1"/>
    <col min="2580" max="2583" width="0" hidden="1" customWidth="1"/>
    <col min="2584" max="2584" width="19.7109375" customWidth="1"/>
    <col min="2585" max="2585" width="19.28515625" customWidth="1"/>
    <col min="2586" max="2586" width="27.7109375" customWidth="1"/>
    <col min="2587" max="2587" width="34" customWidth="1"/>
    <col min="2588" max="2588" width="17.28515625" bestFit="1" customWidth="1"/>
    <col min="2589" max="2589" width="11.28515625" bestFit="1" customWidth="1"/>
    <col min="2590" max="2590" width="11" bestFit="1" customWidth="1"/>
    <col min="2817" max="2817" width="8" customWidth="1"/>
    <col min="2818" max="2818" width="0" hidden="1" customWidth="1"/>
    <col min="2819" max="2819" width="70.28515625" customWidth="1"/>
    <col min="2820" max="2820" width="13" customWidth="1"/>
    <col min="2821" max="2821" width="12.28515625" customWidth="1"/>
    <col min="2822" max="2822" width="13.28515625" customWidth="1"/>
    <col min="2823" max="2824" width="0" hidden="1" customWidth="1"/>
    <col min="2825" max="2825" width="25.5703125" customWidth="1"/>
    <col min="2826" max="2827" width="0" hidden="1" customWidth="1"/>
    <col min="2828" max="2828" width="19.42578125" customWidth="1"/>
    <col min="2829" max="2829" width="20.28515625" customWidth="1"/>
    <col min="2830" max="2832" width="18.7109375" customWidth="1"/>
    <col min="2833" max="2833" width="22.28515625" customWidth="1"/>
    <col min="2834" max="2834" width="14.7109375" customWidth="1"/>
    <col min="2835" max="2835" width="17.7109375" customWidth="1"/>
    <col min="2836" max="2839" width="0" hidden="1" customWidth="1"/>
    <col min="2840" max="2840" width="19.7109375" customWidth="1"/>
    <col min="2841" max="2841" width="19.28515625" customWidth="1"/>
    <col min="2842" max="2842" width="27.7109375" customWidth="1"/>
    <col min="2843" max="2843" width="34" customWidth="1"/>
    <col min="2844" max="2844" width="17.28515625" bestFit="1" customWidth="1"/>
    <col min="2845" max="2845" width="11.28515625" bestFit="1" customWidth="1"/>
    <col min="2846" max="2846" width="11" bestFit="1" customWidth="1"/>
    <col min="3073" max="3073" width="8" customWidth="1"/>
    <col min="3074" max="3074" width="0" hidden="1" customWidth="1"/>
    <col min="3075" max="3075" width="70.28515625" customWidth="1"/>
    <col min="3076" max="3076" width="13" customWidth="1"/>
    <col min="3077" max="3077" width="12.28515625" customWidth="1"/>
    <col min="3078" max="3078" width="13.28515625" customWidth="1"/>
    <col min="3079" max="3080" width="0" hidden="1" customWidth="1"/>
    <col min="3081" max="3081" width="25.5703125" customWidth="1"/>
    <col min="3082" max="3083" width="0" hidden="1" customWidth="1"/>
    <col min="3084" max="3084" width="19.42578125" customWidth="1"/>
    <col min="3085" max="3085" width="20.28515625" customWidth="1"/>
    <col min="3086" max="3088" width="18.7109375" customWidth="1"/>
    <col min="3089" max="3089" width="22.28515625" customWidth="1"/>
    <col min="3090" max="3090" width="14.7109375" customWidth="1"/>
    <col min="3091" max="3091" width="17.7109375" customWidth="1"/>
    <col min="3092" max="3095" width="0" hidden="1" customWidth="1"/>
    <col min="3096" max="3096" width="19.7109375" customWidth="1"/>
    <col min="3097" max="3097" width="19.28515625" customWidth="1"/>
    <col min="3098" max="3098" width="27.7109375" customWidth="1"/>
    <col min="3099" max="3099" width="34" customWidth="1"/>
    <col min="3100" max="3100" width="17.28515625" bestFit="1" customWidth="1"/>
    <col min="3101" max="3101" width="11.28515625" bestFit="1" customWidth="1"/>
    <col min="3102" max="3102" width="11" bestFit="1" customWidth="1"/>
    <col min="3329" max="3329" width="8" customWidth="1"/>
    <col min="3330" max="3330" width="0" hidden="1" customWidth="1"/>
    <col min="3331" max="3331" width="70.28515625" customWidth="1"/>
    <col min="3332" max="3332" width="13" customWidth="1"/>
    <col min="3333" max="3333" width="12.28515625" customWidth="1"/>
    <col min="3334" max="3334" width="13.28515625" customWidth="1"/>
    <col min="3335" max="3336" width="0" hidden="1" customWidth="1"/>
    <col min="3337" max="3337" width="25.5703125" customWidth="1"/>
    <col min="3338" max="3339" width="0" hidden="1" customWidth="1"/>
    <col min="3340" max="3340" width="19.42578125" customWidth="1"/>
    <col min="3341" max="3341" width="20.28515625" customWidth="1"/>
    <col min="3342" max="3344" width="18.7109375" customWidth="1"/>
    <col min="3345" max="3345" width="22.28515625" customWidth="1"/>
    <col min="3346" max="3346" width="14.7109375" customWidth="1"/>
    <col min="3347" max="3347" width="17.7109375" customWidth="1"/>
    <col min="3348" max="3351" width="0" hidden="1" customWidth="1"/>
    <col min="3352" max="3352" width="19.7109375" customWidth="1"/>
    <col min="3353" max="3353" width="19.28515625" customWidth="1"/>
    <col min="3354" max="3354" width="27.7109375" customWidth="1"/>
    <col min="3355" max="3355" width="34" customWidth="1"/>
    <col min="3356" max="3356" width="17.28515625" bestFit="1" customWidth="1"/>
    <col min="3357" max="3357" width="11.28515625" bestFit="1" customWidth="1"/>
    <col min="3358" max="3358" width="11" bestFit="1" customWidth="1"/>
    <col min="3585" max="3585" width="8" customWidth="1"/>
    <col min="3586" max="3586" width="0" hidden="1" customWidth="1"/>
    <col min="3587" max="3587" width="70.28515625" customWidth="1"/>
    <col min="3588" max="3588" width="13" customWidth="1"/>
    <col min="3589" max="3589" width="12.28515625" customWidth="1"/>
    <col min="3590" max="3590" width="13.28515625" customWidth="1"/>
    <col min="3591" max="3592" width="0" hidden="1" customWidth="1"/>
    <col min="3593" max="3593" width="25.5703125" customWidth="1"/>
    <col min="3594" max="3595" width="0" hidden="1" customWidth="1"/>
    <col min="3596" max="3596" width="19.42578125" customWidth="1"/>
    <col min="3597" max="3597" width="20.28515625" customWidth="1"/>
    <col min="3598" max="3600" width="18.7109375" customWidth="1"/>
    <col min="3601" max="3601" width="22.28515625" customWidth="1"/>
    <col min="3602" max="3602" width="14.7109375" customWidth="1"/>
    <col min="3603" max="3603" width="17.7109375" customWidth="1"/>
    <col min="3604" max="3607" width="0" hidden="1" customWidth="1"/>
    <col min="3608" max="3608" width="19.7109375" customWidth="1"/>
    <col min="3609" max="3609" width="19.28515625" customWidth="1"/>
    <col min="3610" max="3610" width="27.7109375" customWidth="1"/>
    <col min="3611" max="3611" width="34" customWidth="1"/>
    <col min="3612" max="3612" width="17.28515625" bestFit="1" customWidth="1"/>
    <col min="3613" max="3613" width="11.28515625" bestFit="1" customWidth="1"/>
    <col min="3614" max="3614" width="11" bestFit="1" customWidth="1"/>
    <col min="3841" max="3841" width="8" customWidth="1"/>
    <col min="3842" max="3842" width="0" hidden="1" customWidth="1"/>
    <col min="3843" max="3843" width="70.28515625" customWidth="1"/>
    <col min="3844" max="3844" width="13" customWidth="1"/>
    <col min="3845" max="3845" width="12.28515625" customWidth="1"/>
    <col min="3846" max="3846" width="13.28515625" customWidth="1"/>
    <col min="3847" max="3848" width="0" hidden="1" customWidth="1"/>
    <col min="3849" max="3849" width="25.5703125" customWidth="1"/>
    <col min="3850" max="3851" width="0" hidden="1" customWidth="1"/>
    <col min="3852" max="3852" width="19.42578125" customWidth="1"/>
    <col min="3853" max="3853" width="20.28515625" customWidth="1"/>
    <col min="3854" max="3856" width="18.7109375" customWidth="1"/>
    <col min="3857" max="3857" width="22.28515625" customWidth="1"/>
    <col min="3858" max="3858" width="14.7109375" customWidth="1"/>
    <col min="3859" max="3859" width="17.7109375" customWidth="1"/>
    <col min="3860" max="3863" width="0" hidden="1" customWidth="1"/>
    <col min="3864" max="3864" width="19.7109375" customWidth="1"/>
    <col min="3865" max="3865" width="19.28515625" customWidth="1"/>
    <col min="3866" max="3866" width="27.7109375" customWidth="1"/>
    <col min="3867" max="3867" width="34" customWidth="1"/>
    <col min="3868" max="3868" width="17.28515625" bestFit="1" customWidth="1"/>
    <col min="3869" max="3869" width="11.28515625" bestFit="1" customWidth="1"/>
    <col min="3870" max="3870" width="11" bestFit="1" customWidth="1"/>
    <col min="4097" max="4097" width="8" customWidth="1"/>
    <col min="4098" max="4098" width="0" hidden="1" customWidth="1"/>
    <col min="4099" max="4099" width="70.28515625" customWidth="1"/>
    <col min="4100" max="4100" width="13" customWidth="1"/>
    <col min="4101" max="4101" width="12.28515625" customWidth="1"/>
    <col min="4102" max="4102" width="13.28515625" customWidth="1"/>
    <col min="4103" max="4104" width="0" hidden="1" customWidth="1"/>
    <col min="4105" max="4105" width="25.5703125" customWidth="1"/>
    <col min="4106" max="4107" width="0" hidden="1" customWidth="1"/>
    <col min="4108" max="4108" width="19.42578125" customWidth="1"/>
    <col min="4109" max="4109" width="20.28515625" customWidth="1"/>
    <col min="4110" max="4112" width="18.7109375" customWidth="1"/>
    <col min="4113" max="4113" width="22.28515625" customWidth="1"/>
    <col min="4114" max="4114" width="14.7109375" customWidth="1"/>
    <col min="4115" max="4115" width="17.7109375" customWidth="1"/>
    <col min="4116" max="4119" width="0" hidden="1" customWidth="1"/>
    <col min="4120" max="4120" width="19.7109375" customWidth="1"/>
    <col min="4121" max="4121" width="19.28515625" customWidth="1"/>
    <col min="4122" max="4122" width="27.7109375" customWidth="1"/>
    <col min="4123" max="4123" width="34" customWidth="1"/>
    <col min="4124" max="4124" width="17.28515625" bestFit="1" customWidth="1"/>
    <col min="4125" max="4125" width="11.28515625" bestFit="1" customWidth="1"/>
    <col min="4126" max="4126" width="11" bestFit="1" customWidth="1"/>
    <col min="4353" max="4353" width="8" customWidth="1"/>
    <col min="4354" max="4354" width="0" hidden="1" customWidth="1"/>
    <col min="4355" max="4355" width="70.28515625" customWidth="1"/>
    <col min="4356" max="4356" width="13" customWidth="1"/>
    <col min="4357" max="4357" width="12.28515625" customWidth="1"/>
    <col min="4358" max="4358" width="13.28515625" customWidth="1"/>
    <col min="4359" max="4360" width="0" hidden="1" customWidth="1"/>
    <col min="4361" max="4361" width="25.5703125" customWidth="1"/>
    <col min="4362" max="4363" width="0" hidden="1" customWidth="1"/>
    <col min="4364" max="4364" width="19.42578125" customWidth="1"/>
    <col min="4365" max="4365" width="20.28515625" customWidth="1"/>
    <col min="4366" max="4368" width="18.7109375" customWidth="1"/>
    <col min="4369" max="4369" width="22.28515625" customWidth="1"/>
    <col min="4370" max="4370" width="14.7109375" customWidth="1"/>
    <col min="4371" max="4371" width="17.7109375" customWidth="1"/>
    <col min="4372" max="4375" width="0" hidden="1" customWidth="1"/>
    <col min="4376" max="4376" width="19.7109375" customWidth="1"/>
    <col min="4377" max="4377" width="19.28515625" customWidth="1"/>
    <col min="4378" max="4378" width="27.7109375" customWidth="1"/>
    <col min="4379" max="4379" width="34" customWidth="1"/>
    <col min="4380" max="4380" width="17.28515625" bestFit="1" customWidth="1"/>
    <col min="4381" max="4381" width="11.28515625" bestFit="1" customWidth="1"/>
    <col min="4382" max="4382" width="11" bestFit="1" customWidth="1"/>
    <col min="4609" max="4609" width="8" customWidth="1"/>
    <col min="4610" max="4610" width="0" hidden="1" customWidth="1"/>
    <col min="4611" max="4611" width="70.28515625" customWidth="1"/>
    <col min="4612" max="4612" width="13" customWidth="1"/>
    <col min="4613" max="4613" width="12.28515625" customWidth="1"/>
    <col min="4614" max="4614" width="13.28515625" customWidth="1"/>
    <col min="4615" max="4616" width="0" hidden="1" customWidth="1"/>
    <col min="4617" max="4617" width="25.5703125" customWidth="1"/>
    <col min="4618" max="4619" width="0" hidden="1" customWidth="1"/>
    <col min="4620" max="4620" width="19.42578125" customWidth="1"/>
    <col min="4621" max="4621" width="20.28515625" customWidth="1"/>
    <col min="4622" max="4624" width="18.7109375" customWidth="1"/>
    <col min="4625" max="4625" width="22.28515625" customWidth="1"/>
    <col min="4626" max="4626" width="14.7109375" customWidth="1"/>
    <col min="4627" max="4627" width="17.7109375" customWidth="1"/>
    <col min="4628" max="4631" width="0" hidden="1" customWidth="1"/>
    <col min="4632" max="4632" width="19.7109375" customWidth="1"/>
    <col min="4633" max="4633" width="19.28515625" customWidth="1"/>
    <col min="4634" max="4634" width="27.7109375" customWidth="1"/>
    <col min="4635" max="4635" width="34" customWidth="1"/>
    <col min="4636" max="4636" width="17.28515625" bestFit="1" customWidth="1"/>
    <col min="4637" max="4637" width="11.28515625" bestFit="1" customWidth="1"/>
    <col min="4638" max="4638" width="11" bestFit="1" customWidth="1"/>
    <col min="4865" max="4865" width="8" customWidth="1"/>
    <col min="4866" max="4866" width="0" hidden="1" customWidth="1"/>
    <col min="4867" max="4867" width="70.28515625" customWidth="1"/>
    <col min="4868" max="4868" width="13" customWidth="1"/>
    <col min="4869" max="4869" width="12.28515625" customWidth="1"/>
    <col min="4870" max="4870" width="13.28515625" customWidth="1"/>
    <col min="4871" max="4872" width="0" hidden="1" customWidth="1"/>
    <col min="4873" max="4873" width="25.5703125" customWidth="1"/>
    <col min="4874" max="4875" width="0" hidden="1" customWidth="1"/>
    <col min="4876" max="4876" width="19.42578125" customWidth="1"/>
    <col min="4877" max="4877" width="20.28515625" customWidth="1"/>
    <col min="4878" max="4880" width="18.7109375" customWidth="1"/>
    <col min="4881" max="4881" width="22.28515625" customWidth="1"/>
    <col min="4882" max="4882" width="14.7109375" customWidth="1"/>
    <col min="4883" max="4883" width="17.7109375" customWidth="1"/>
    <col min="4884" max="4887" width="0" hidden="1" customWidth="1"/>
    <col min="4888" max="4888" width="19.7109375" customWidth="1"/>
    <col min="4889" max="4889" width="19.28515625" customWidth="1"/>
    <col min="4890" max="4890" width="27.7109375" customWidth="1"/>
    <col min="4891" max="4891" width="34" customWidth="1"/>
    <col min="4892" max="4892" width="17.28515625" bestFit="1" customWidth="1"/>
    <col min="4893" max="4893" width="11.28515625" bestFit="1" customWidth="1"/>
    <col min="4894" max="4894" width="11" bestFit="1" customWidth="1"/>
    <col min="5121" max="5121" width="8" customWidth="1"/>
    <col min="5122" max="5122" width="0" hidden="1" customWidth="1"/>
    <col min="5123" max="5123" width="70.28515625" customWidth="1"/>
    <col min="5124" max="5124" width="13" customWidth="1"/>
    <col min="5125" max="5125" width="12.28515625" customWidth="1"/>
    <col min="5126" max="5126" width="13.28515625" customWidth="1"/>
    <col min="5127" max="5128" width="0" hidden="1" customWidth="1"/>
    <col min="5129" max="5129" width="25.5703125" customWidth="1"/>
    <col min="5130" max="5131" width="0" hidden="1" customWidth="1"/>
    <col min="5132" max="5132" width="19.42578125" customWidth="1"/>
    <col min="5133" max="5133" width="20.28515625" customWidth="1"/>
    <col min="5134" max="5136" width="18.7109375" customWidth="1"/>
    <col min="5137" max="5137" width="22.28515625" customWidth="1"/>
    <col min="5138" max="5138" width="14.7109375" customWidth="1"/>
    <col min="5139" max="5139" width="17.7109375" customWidth="1"/>
    <col min="5140" max="5143" width="0" hidden="1" customWidth="1"/>
    <col min="5144" max="5144" width="19.7109375" customWidth="1"/>
    <col min="5145" max="5145" width="19.28515625" customWidth="1"/>
    <col min="5146" max="5146" width="27.7109375" customWidth="1"/>
    <col min="5147" max="5147" width="34" customWidth="1"/>
    <col min="5148" max="5148" width="17.28515625" bestFit="1" customWidth="1"/>
    <col min="5149" max="5149" width="11.28515625" bestFit="1" customWidth="1"/>
    <col min="5150" max="5150" width="11" bestFit="1" customWidth="1"/>
    <col min="5377" max="5377" width="8" customWidth="1"/>
    <col min="5378" max="5378" width="0" hidden="1" customWidth="1"/>
    <col min="5379" max="5379" width="70.28515625" customWidth="1"/>
    <col min="5380" max="5380" width="13" customWidth="1"/>
    <col min="5381" max="5381" width="12.28515625" customWidth="1"/>
    <col min="5382" max="5382" width="13.28515625" customWidth="1"/>
    <col min="5383" max="5384" width="0" hidden="1" customWidth="1"/>
    <col min="5385" max="5385" width="25.5703125" customWidth="1"/>
    <col min="5386" max="5387" width="0" hidden="1" customWidth="1"/>
    <col min="5388" max="5388" width="19.42578125" customWidth="1"/>
    <col min="5389" max="5389" width="20.28515625" customWidth="1"/>
    <col min="5390" max="5392" width="18.7109375" customWidth="1"/>
    <col min="5393" max="5393" width="22.28515625" customWidth="1"/>
    <col min="5394" max="5394" width="14.7109375" customWidth="1"/>
    <col min="5395" max="5395" width="17.7109375" customWidth="1"/>
    <col min="5396" max="5399" width="0" hidden="1" customWidth="1"/>
    <col min="5400" max="5400" width="19.7109375" customWidth="1"/>
    <col min="5401" max="5401" width="19.28515625" customWidth="1"/>
    <col min="5402" max="5402" width="27.7109375" customWidth="1"/>
    <col min="5403" max="5403" width="34" customWidth="1"/>
    <col min="5404" max="5404" width="17.28515625" bestFit="1" customWidth="1"/>
    <col min="5405" max="5405" width="11.28515625" bestFit="1" customWidth="1"/>
    <col min="5406" max="5406" width="11" bestFit="1" customWidth="1"/>
    <col min="5633" max="5633" width="8" customWidth="1"/>
    <col min="5634" max="5634" width="0" hidden="1" customWidth="1"/>
    <col min="5635" max="5635" width="70.28515625" customWidth="1"/>
    <col min="5636" max="5636" width="13" customWidth="1"/>
    <col min="5637" max="5637" width="12.28515625" customWidth="1"/>
    <col min="5638" max="5638" width="13.28515625" customWidth="1"/>
    <col min="5639" max="5640" width="0" hidden="1" customWidth="1"/>
    <col min="5641" max="5641" width="25.5703125" customWidth="1"/>
    <col min="5642" max="5643" width="0" hidden="1" customWidth="1"/>
    <col min="5644" max="5644" width="19.42578125" customWidth="1"/>
    <col min="5645" max="5645" width="20.28515625" customWidth="1"/>
    <col min="5646" max="5648" width="18.7109375" customWidth="1"/>
    <col min="5649" max="5649" width="22.28515625" customWidth="1"/>
    <col min="5650" max="5650" width="14.7109375" customWidth="1"/>
    <col min="5651" max="5651" width="17.7109375" customWidth="1"/>
    <col min="5652" max="5655" width="0" hidden="1" customWidth="1"/>
    <col min="5656" max="5656" width="19.7109375" customWidth="1"/>
    <col min="5657" max="5657" width="19.28515625" customWidth="1"/>
    <col min="5658" max="5658" width="27.7109375" customWidth="1"/>
    <col min="5659" max="5659" width="34" customWidth="1"/>
    <col min="5660" max="5660" width="17.28515625" bestFit="1" customWidth="1"/>
    <col min="5661" max="5661" width="11.28515625" bestFit="1" customWidth="1"/>
    <col min="5662" max="5662" width="11" bestFit="1" customWidth="1"/>
    <col min="5889" max="5889" width="8" customWidth="1"/>
    <col min="5890" max="5890" width="0" hidden="1" customWidth="1"/>
    <col min="5891" max="5891" width="70.28515625" customWidth="1"/>
    <col min="5892" max="5892" width="13" customWidth="1"/>
    <col min="5893" max="5893" width="12.28515625" customWidth="1"/>
    <col min="5894" max="5894" width="13.28515625" customWidth="1"/>
    <col min="5895" max="5896" width="0" hidden="1" customWidth="1"/>
    <col min="5897" max="5897" width="25.5703125" customWidth="1"/>
    <col min="5898" max="5899" width="0" hidden="1" customWidth="1"/>
    <col min="5900" max="5900" width="19.42578125" customWidth="1"/>
    <col min="5901" max="5901" width="20.28515625" customWidth="1"/>
    <col min="5902" max="5904" width="18.7109375" customWidth="1"/>
    <col min="5905" max="5905" width="22.28515625" customWidth="1"/>
    <col min="5906" max="5906" width="14.7109375" customWidth="1"/>
    <col min="5907" max="5907" width="17.7109375" customWidth="1"/>
    <col min="5908" max="5911" width="0" hidden="1" customWidth="1"/>
    <col min="5912" max="5912" width="19.7109375" customWidth="1"/>
    <col min="5913" max="5913" width="19.28515625" customWidth="1"/>
    <col min="5914" max="5914" width="27.7109375" customWidth="1"/>
    <col min="5915" max="5915" width="34" customWidth="1"/>
    <col min="5916" max="5916" width="17.28515625" bestFit="1" customWidth="1"/>
    <col min="5917" max="5917" width="11.28515625" bestFit="1" customWidth="1"/>
    <col min="5918" max="5918" width="11" bestFit="1" customWidth="1"/>
    <col min="6145" max="6145" width="8" customWidth="1"/>
    <col min="6146" max="6146" width="0" hidden="1" customWidth="1"/>
    <col min="6147" max="6147" width="70.28515625" customWidth="1"/>
    <col min="6148" max="6148" width="13" customWidth="1"/>
    <col min="6149" max="6149" width="12.28515625" customWidth="1"/>
    <col min="6150" max="6150" width="13.28515625" customWidth="1"/>
    <col min="6151" max="6152" width="0" hidden="1" customWidth="1"/>
    <col min="6153" max="6153" width="25.5703125" customWidth="1"/>
    <col min="6154" max="6155" width="0" hidden="1" customWidth="1"/>
    <col min="6156" max="6156" width="19.42578125" customWidth="1"/>
    <col min="6157" max="6157" width="20.28515625" customWidth="1"/>
    <col min="6158" max="6160" width="18.7109375" customWidth="1"/>
    <col min="6161" max="6161" width="22.28515625" customWidth="1"/>
    <col min="6162" max="6162" width="14.7109375" customWidth="1"/>
    <col min="6163" max="6163" width="17.7109375" customWidth="1"/>
    <col min="6164" max="6167" width="0" hidden="1" customWidth="1"/>
    <col min="6168" max="6168" width="19.7109375" customWidth="1"/>
    <col min="6169" max="6169" width="19.28515625" customWidth="1"/>
    <col min="6170" max="6170" width="27.7109375" customWidth="1"/>
    <col min="6171" max="6171" width="34" customWidth="1"/>
    <col min="6172" max="6172" width="17.28515625" bestFit="1" customWidth="1"/>
    <col min="6173" max="6173" width="11.28515625" bestFit="1" customWidth="1"/>
    <col min="6174" max="6174" width="11" bestFit="1" customWidth="1"/>
    <col min="6401" max="6401" width="8" customWidth="1"/>
    <col min="6402" max="6402" width="0" hidden="1" customWidth="1"/>
    <col min="6403" max="6403" width="70.28515625" customWidth="1"/>
    <col min="6404" max="6404" width="13" customWidth="1"/>
    <col min="6405" max="6405" width="12.28515625" customWidth="1"/>
    <col min="6406" max="6406" width="13.28515625" customWidth="1"/>
    <col min="6407" max="6408" width="0" hidden="1" customWidth="1"/>
    <col min="6409" max="6409" width="25.5703125" customWidth="1"/>
    <col min="6410" max="6411" width="0" hidden="1" customWidth="1"/>
    <col min="6412" max="6412" width="19.42578125" customWidth="1"/>
    <col min="6413" max="6413" width="20.28515625" customWidth="1"/>
    <col min="6414" max="6416" width="18.7109375" customWidth="1"/>
    <col min="6417" max="6417" width="22.28515625" customWidth="1"/>
    <col min="6418" max="6418" width="14.7109375" customWidth="1"/>
    <col min="6419" max="6419" width="17.7109375" customWidth="1"/>
    <col min="6420" max="6423" width="0" hidden="1" customWidth="1"/>
    <col min="6424" max="6424" width="19.7109375" customWidth="1"/>
    <col min="6425" max="6425" width="19.28515625" customWidth="1"/>
    <col min="6426" max="6426" width="27.7109375" customWidth="1"/>
    <col min="6427" max="6427" width="34" customWidth="1"/>
    <col min="6428" max="6428" width="17.28515625" bestFit="1" customWidth="1"/>
    <col min="6429" max="6429" width="11.28515625" bestFit="1" customWidth="1"/>
    <col min="6430" max="6430" width="11" bestFit="1" customWidth="1"/>
    <col min="6657" max="6657" width="8" customWidth="1"/>
    <col min="6658" max="6658" width="0" hidden="1" customWidth="1"/>
    <col min="6659" max="6659" width="70.28515625" customWidth="1"/>
    <col min="6660" max="6660" width="13" customWidth="1"/>
    <col min="6661" max="6661" width="12.28515625" customWidth="1"/>
    <col min="6662" max="6662" width="13.28515625" customWidth="1"/>
    <col min="6663" max="6664" width="0" hidden="1" customWidth="1"/>
    <col min="6665" max="6665" width="25.5703125" customWidth="1"/>
    <col min="6666" max="6667" width="0" hidden="1" customWidth="1"/>
    <col min="6668" max="6668" width="19.42578125" customWidth="1"/>
    <col min="6669" max="6669" width="20.28515625" customWidth="1"/>
    <col min="6670" max="6672" width="18.7109375" customWidth="1"/>
    <col min="6673" max="6673" width="22.28515625" customWidth="1"/>
    <col min="6674" max="6674" width="14.7109375" customWidth="1"/>
    <col min="6675" max="6675" width="17.7109375" customWidth="1"/>
    <col min="6676" max="6679" width="0" hidden="1" customWidth="1"/>
    <col min="6680" max="6680" width="19.7109375" customWidth="1"/>
    <col min="6681" max="6681" width="19.28515625" customWidth="1"/>
    <col min="6682" max="6682" width="27.7109375" customWidth="1"/>
    <col min="6683" max="6683" width="34" customWidth="1"/>
    <col min="6684" max="6684" width="17.28515625" bestFit="1" customWidth="1"/>
    <col min="6685" max="6685" width="11.28515625" bestFit="1" customWidth="1"/>
    <col min="6686" max="6686" width="11" bestFit="1" customWidth="1"/>
    <col min="6913" max="6913" width="8" customWidth="1"/>
    <col min="6914" max="6914" width="0" hidden="1" customWidth="1"/>
    <col min="6915" max="6915" width="70.28515625" customWidth="1"/>
    <col min="6916" max="6916" width="13" customWidth="1"/>
    <col min="6917" max="6917" width="12.28515625" customWidth="1"/>
    <col min="6918" max="6918" width="13.28515625" customWidth="1"/>
    <col min="6919" max="6920" width="0" hidden="1" customWidth="1"/>
    <col min="6921" max="6921" width="25.5703125" customWidth="1"/>
    <col min="6922" max="6923" width="0" hidden="1" customWidth="1"/>
    <col min="6924" max="6924" width="19.42578125" customWidth="1"/>
    <col min="6925" max="6925" width="20.28515625" customWidth="1"/>
    <col min="6926" max="6928" width="18.7109375" customWidth="1"/>
    <col min="6929" max="6929" width="22.28515625" customWidth="1"/>
    <col min="6930" max="6930" width="14.7109375" customWidth="1"/>
    <col min="6931" max="6931" width="17.7109375" customWidth="1"/>
    <col min="6932" max="6935" width="0" hidden="1" customWidth="1"/>
    <col min="6936" max="6936" width="19.7109375" customWidth="1"/>
    <col min="6937" max="6937" width="19.28515625" customWidth="1"/>
    <col min="6938" max="6938" width="27.7109375" customWidth="1"/>
    <col min="6939" max="6939" width="34" customWidth="1"/>
    <col min="6940" max="6940" width="17.28515625" bestFit="1" customWidth="1"/>
    <col min="6941" max="6941" width="11.28515625" bestFit="1" customWidth="1"/>
    <col min="6942" max="6942" width="11" bestFit="1" customWidth="1"/>
    <col min="7169" max="7169" width="8" customWidth="1"/>
    <col min="7170" max="7170" width="0" hidden="1" customWidth="1"/>
    <col min="7171" max="7171" width="70.28515625" customWidth="1"/>
    <col min="7172" max="7172" width="13" customWidth="1"/>
    <col min="7173" max="7173" width="12.28515625" customWidth="1"/>
    <col min="7174" max="7174" width="13.28515625" customWidth="1"/>
    <col min="7175" max="7176" width="0" hidden="1" customWidth="1"/>
    <col min="7177" max="7177" width="25.5703125" customWidth="1"/>
    <col min="7178" max="7179" width="0" hidden="1" customWidth="1"/>
    <col min="7180" max="7180" width="19.42578125" customWidth="1"/>
    <col min="7181" max="7181" width="20.28515625" customWidth="1"/>
    <col min="7182" max="7184" width="18.7109375" customWidth="1"/>
    <col min="7185" max="7185" width="22.28515625" customWidth="1"/>
    <col min="7186" max="7186" width="14.7109375" customWidth="1"/>
    <col min="7187" max="7187" width="17.7109375" customWidth="1"/>
    <col min="7188" max="7191" width="0" hidden="1" customWidth="1"/>
    <col min="7192" max="7192" width="19.7109375" customWidth="1"/>
    <col min="7193" max="7193" width="19.28515625" customWidth="1"/>
    <col min="7194" max="7194" width="27.7109375" customWidth="1"/>
    <col min="7195" max="7195" width="34" customWidth="1"/>
    <col min="7196" max="7196" width="17.28515625" bestFit="1" customWidth="1"/>
    <col min="7197" max="7197" width="11.28515625" bestFit="1" customWidth="1"/>
    <col min="7198" max="7198" width="11" bestFit="1" customWidth="1"/>
    <col min="7425" max="7425" width="8" customWidth="1"/>
    <col min="7426" max="7426" width="0" hidden="1" customWidth="1"/>
    <col min="7427" max="7427" width="70.28515625" customWidth="1"/>
    <col min="7428" max="7428" width="13" customWidth="1"/>
    <col min="7429" max="7429" width="12.28515625" customWidth="1"/>
    <col min="7430" max="7430" width="13.28515625" customWidth="1"/>
    <col min="7431" max="7432" width="0" hidden="1" customWidth="1"/>
    <col min="7433" max="7433" width="25.5703125" customWidth="1"/>
    <col min="7434" max="7435" width="0" hidden="1" customWidth="1"/>
    <col min="7436" max="7436" width="19.42578125" customWidth="1"/>
    <col min="7437" max="7437" width="20.28515625" customWidth="1"/>
    <col min="7438" max="7440" width="18.7109375" customWidth="1"/>
    <col min="7441" max="7441" width="22.28515625" customWidth="1"/>
    <col min="7442" max="7442" width="14.7109375" customWidth="1"/>
    <col min="7443" max="7443" width="17.7109375" customWidth="1"/>
    <col min="7444" max="7447" width="0" hidden="1" customWidth="1"/>
    <col min="7448" max="7448" width="19.7109375" customWidth="1"/>
    <col min="7449" max="7449" width="19.28515625" customWidth="1"/>
    <col min="7450" max="7450" width="27.7109375" customWidth="1"/>
    <col min="7451" max="7451" width="34" customWidth="1"/>
    <col min="7452" max="7452" width="17.28515625" bestFit="1" customWidth="1"/>
    <col min="7453" max="7453" width="11.28515625" bestFit="1" customWidth="1"/>
    <col min="7454" max="7454" width="11" bestFit="1" customWidth="1"/>
    <col min="7681" max="7681" width="8" customWidth="1"/>
    <col min="7682" max="7682" width="0" hidden="1" customWidth="1"/>
    <col min="7683" max="7683" width="70.28515625" customWidth="1"/>
    <col min="7684" max="7684" width="13" customWidth="1"/>
    <col min="7685" max="7685" width="12.28515625" customWidth="1"/>
    <col min="7686" max="7686" width="13.28515625" customWidth="1"/>
    <col min="7687" max="7688" width="0" hidden="1" customWidth="1"/>
    <col min="7689" max="7689" width="25.5703125" customWidth="1"/>
    <col min="7690" max="7691" width="0" hidden="1" customWidth="1"/>
    <col min="7692" max="7692" width="19.42578125" customWidth="1"/>
    <col min="7693" max="7693" width="20.28515625" customWidth="1"/>
    <col min="7694" max="7696" width="18.7109375" customWidth="1"/>
    <col min="7697" max="7697" width="22.28515625" customWidth="1"/>
    <col min="7698" max="7698" width="14.7109375" customWidth="1"/>
    <col min="7699" max="7699" width="17.7109375" customWidth="1"/>
    <col min="7700" max="7703" width="0" hidden="1" customWidth="1"/>
    <col min="7704" max="7704" width="19.7109375" customWidth="1"/>
    <col min="7705" max="7705" width="19.28515625" customWidth="1"/>
    <col min="7706" max="7706" width="27.7109375" customWidth="1"/>
    <col min="7707" max="7707" width="34" customWidth="1"/>
    <col min="7708" max="7708" width="17.28515625" bestFit="1" customWidth="1"/>
    <col min="7709" max="7709" width="11.28515625" bestFit="1" customWidth="1"/>
    <col min="7710" max="7710" width="11" bestFit="1" customWidth="1"/>
    <col min="7937" max="7937" width="8" customWidth="1"/>
    <col min="7938" max="7938" width="0" hidden="1" customWidth="1"/>
    <col min="7939" max="7939" width="70.28515625" customWidth="1"/>
    <col min="7940" max="7940" width="13" customWidth="1"/>
    <col min="7941" max="7941" width="12.28515625" customWidth="1"/>
    <col min="7942" max="7942" width="13.28515625" customWidth="1"/>
    <col min="7943" max="7944" width="0" hidden="1" customWidth="1"/>
    <col min="7945" max="7945" width="25.5703125" customWidth="1"/>
    <col min="7946" max="7947" width="0" hidden="1" customWidth="1"/>
    <col min="7948" max="7948" width="19.42578125" customWidth="1"/>
    <col min="7949" max="7949" width="20.28515625" customWidth="1"/>
    <col min="7950" max="7952" width="18.7109375" customWidth="1"/>
    <col min="7953" max="7953" width="22.28515625" customWidth="1"/>
    <col min="7954" max="7954" width="14.7109375" customWidth="1"/>
    <col min="7955" max="7955" width="17.7109375" customWidth="1"/>
    <col min="7956" max="7959" width="0" hidden="1" customWidth="1"/>
    <col min="7960" max="7960" width="19.7109375" customWidth="1"/>
    <col min="7961" max="7961" width="19.28515625" customWidth="1"/>
    <col min="7962" max="7962" width="27.7109375" customWidth="1"/>
    <col min="7963" max="7963" width="34" customWidth="1"/>
    <col min="7964" max="7964" width="17.28515625" bestFit="1" customWidth="1"/>
    <col min="7965" max="7965" width="11.28515625" bestFit="1" customWidth="1"/>
    <col min="7966" max="7966" width="11" bestFit="1" customWidth="1"/>
    <col min="8193" max="8193" width="8" customWidth="1"/>
    <col min="8194" max="8194" width="0" hidden="1" customWidth="1"/>
    <col min="8195" max="8195" width="70.28515625" customWidth="1"/>
    <col min="8196" max="8196" width="13" customWidth="1"/>
    <col min="8197" max="8197" width="12.28515625" customWidth="1"/>
    <col min="8198" max="8198" width="13.28515625" customWidth="1"/>
    <col min="8199" max="8200" width="0" hidden="1" customWidth="1"/>
    <col min="8201" max="8201" width="25.5703125" customWidth="1"/>
    <col min="8202" max="8203" width="0" hidden="1" customWidth="1"/>
    <col min="8204" max="8204" width="19.42578125" customWidth="1"/>
    <col min="8205" max="8205" width="20.28515625" customWidth="1"/>
    <col min="8206" max="8208" width="18.7109375" customWidth="1"/>
    <col min="8209" max="8209" width="22.28515625" customWidth="1"/>
    <col min="8210" max="8210" width="14.7109375" customWidth="1"/>
    <col min="8211" max="8211" width="17.7109375" customWidth="1"/>
    <col min="8212" max="8215" width="0" hidden="1" customWidth="1"/>
    <col min="8216" max="8216" width="19.7109375" customWidth="1"/>
    <col min="8217" max="8217" width="19.28515625" customWidth="1"/>
    <col min="8218" max="8218" width="27.7109375" customWidth="1"/>
    <col min="8219" max="8219" width="34" customWidth="1"/>
    <col min="8220" max="8220" width="17.28515625" bestFit="1" customWidth="1"/>
    <col min="8221" max="8221" width="11.28515625" bestFit="1" customWidth="1"/>
    <col min="8222" max="8222" width="11" bestFit="1" customWidth="1"/>
    <col min="8449" max="8449" width="8" customWidth="1"/>
    <col min="8450" max="8450" width="0" hidden="1" customWidth="1"/>
    <col min="8451" max="8451" width="70.28515625" customWidth="1"/>
    <col min="8452" max="8452" width="13" customWidth="1"/>
    <col min="8453" max="8453" width="12.28515625" customWidth="1"/>
    <col min="8454" max="8454" width="13.28515625" customWidth="1"/>
    <col min="8455" max="8456" width="0" hidden="1" customWidth="1"/>
    <col min="8457" max="8457" width="25.5703125" customWidth="1"/>
    <col min="8458" max="8459" width="0" hidden="1" customWidth="1"/>
    <col min="8460" max="8460" width="19.42578125" customWidth="1"/>
    <col min="8461" max="8461" width="20.28515625" customWidth="1"/>
    <col min="8462" max="8464" width="18.7109375" customWidth="1"/>
    <col min="8465" max="8465" width="22.28515625" customWidth="1"/>
    <col min="8466" max="8466" width="14.7109375" customWidth="1"/>
    <col min="8467" max="8467" width="17.7109375" customWidth="1"/>
    <col min="8468" max="8471" width="0" hidden="1" customWidth="1"/>
    <col min="8472" max="8472" width="19.7109375" customWidth="1"/>
    <col min="8473" max="8473" width="19.28515625" customWidth="1"/>
    <col min="8474" max="8474" width="27.7109375" customWidth="1"/>
    <col min="8475" max="8475" width="34" customWidth="1"/>
    <col min="8476" max="8476" width="17.28515625" bestFit="1" customWidth="1"/>
    <col min="8477" max="8477" width="11.28515625" bestFit="1" customWidth="1"/>
    <col min="8478" max="8478" width="11" bestFit="1" customWidth="1"/>
    <col min="8705" max="8705" width="8" customWidth="1"/>
    <col min="8706" max="8706" width="0" hidden="1" customWidth="1"/>
    <col min="8707" max="8707" width="70.28515625" customWidth="1"/>
    <col min="8708" max="8708" width="13" customWidth="1"/>
    <col min="8709" max="8709" width="12.28515625" customWidth="1"/>
    <col min="8710" max="8710" width="13.28515625" customWidth="1"/>
    <col min="8711" max="8712" width="0" hidden="1" customWidth="1"/>
    <col min="8713" max="8713" width="25.5703125" customWidth="1"/>
    <col min="8714" max="8715" width="0" hidden="1" customWidth="1"/>
    <col min="8716" max="8716" width="19.42578125" customWidth="1"/>
    <col min="8717" max="8717" width="20.28515625" customWidth="1"/>
    <col min="8718" max="8720" width="18.7109375" customWidth="1"/>
    <col min="8721" max="8721" width="22.28515625" customWidth="1"/>
    <col min="8722" max="8722" width="14.7109375" customWidth="1"/>
    <col min="8723" max="8723" width="17.7109375" customWidth="1"/>
    <col min="8724" max="8727" width="0" hidden="1" customWidth="1"/>
    <col min="8728" max="8728" width="19.7109375" customWidth="1"/>
    <col min="8729" max="8729" width="19.28515625" customWidth="1"/>
    <col min="8730" max="8730" width="27.7109375" customWidth="1"/>
    <col min="8731" max="8731" width="34" customWidth="1"/>
    <col min="8732" max="8732" width="17.28515625" bestFit="1" customWidth="1"/>
    <col min="8733" max="8733" width="11.28515625" bestFit="1" customWidth="1"/>
    <col min="8734" max="8734" width="11" bestFit="1" customWidth="1"/>
    <col min="8961" max="8961" width="8" customWidth="1"/>
    <col min="8962" max="8962" width="0" hidden="1" customWidth="1"/>
    <col min="8963" max="8963" width="70.28515625" customWidth="1"/>
    <col min="8964" max="8964" width="13" customWidth="1"/>
    <col min="8965" max="8965" width="12.28515625" customWidth="1"/>
    <col min="8966" max="8966" width="13.28515625" customWidth="1"/>
    <col min="8967" max="8968" width="0" hidden="1" customWidth="1"/>
    <col min="8969" max="8969" width="25.5703125" customWidth="1"/>
    <col min="8970" max="8971" width="0" hidden="1" customWidth="1"/>
    <col min="8972" max="8972" width="19.42578125" customWidth="1"/>
    <col min="8973" max="8973" width="20.28515625" customWidth="1"/>
    <col min="8974" max="8976" width="18.7109375" customWidth="1"/>
    <col min="8977" max="8977" width="22.28515625" customWidth="1"/>
    <col min="8978" max="8978" width="14.7109375" customWidth="1"/>
    <col min="8979" max="8979" width="17.7109375" customWidth="1"/>
    <col min="8980" max="8983" width="0" hidden="1" customWidth="1"/>
    <col min="8984" max="8984" width="19.7109375" customWidth="1"/>
    <col min="8985" max="8985" width="19.28515625" customWidth="1"/>
    <col min="8986" max="8986" width="27.7109375" customWidth="1"/>
    <col min="8987" max="8987" width="34" customWidth="1"/>
    <col min="8988" max="8988" width="17.28515625" bestFit="1" customWidth="1"/>
    <col min="8989" max="8989" width="11.28515625" bestFit="1" customWidth="1"/>
    <col min="8990" max="8990" width="11" bestFit="1" customWidth="1"/>
    <col min="9217" max="9217" width="8" customWidth="1"/>
    <col min="9218" max="9218" width="0" hidden="1" customWidth="1"/>
    <col min="9219" max="9219" width="70.28515625" customWidth="1"/>
    <col min="9220" max="9220" width="13" customWidth="1"/>
    <col min="9221" max="9221" width="12.28515625" customWidth="1"/>
    <col min="9222" max="9222" width="13.28515625" customWidth="1"/>
    <col min="9223" max="9224" width="0" hidden="1" customWidth="1"/>
    <col min="9225" max="9225" width="25.5703125" customWidth="1"/>
    <col min="9226" max="9227" width="0" hidden="1" customWidth="1"/>
    <col min="9228" max="9228" width="19.42578125" customWidth="1"/>
    <col min="9229" max="9229" width="20.28515625" customWidth="1"/>
    <col min="9230" max="9232" width="18.7109375" customWidth="1"/>
    <col min="9233" max="9233" width="22.28515625" customWidth="1"/>
    <col min="9234" max="9234" width="14.7109375" customWidth="1"/>
    <col min="9235" max="9235" width="17.7109375" customWidth="1"/>
    <col min="9236" max="9239" width="0" hidden="1" customWidth="1"/>
    <col min="9240" max="9240" width="19.7109375" customWidth="1"/>
    <col min="9241" max="9241" width="19.28515625" customWidth="1"/>
    <col min="9242" max="9242" width="27.7109375" customWidth="1"/>
    <col min="9243" max="9243" width="34" customWidth="1"/>
    <col min="9244" max="9244" width="17.28515625" bestFit="1" customWidth="1"/>
    <col min="9245" max="9245" width="11.28515625" bestFit="1" customWidth="1"/>
    <col min="9246" max="9246" width="11" bestFit="1" customWidth="1"/>
    <col min="9473" max="9473" width="8" customWidth="1"/>
    <col min="9474" max="9474" width="0" hidden="1" customWidth="1"/>
    <col min="9475" max="9475" width="70.28515625" customWidth="1"/>
    <col min="9476" max="9476" width="13" customWidth="1"/>
    <col min="9477" max="9477" width="12.28515625" customWidth="1"/>
    <col min="9478" max="9478" width="13.28515625" customWidth="1"/>
    <col min="9479" max="9480" width="0" hidden="1" customWidth="1"/>
    <col min="9481" max="9481" width="25.5703125" customWidth="1"/>
    <col min="9482" max="9483" width="0" hidden="1" customWidth="1"/>
    <col min="9484" max="9484" width="19.42578125" customWidth="1"/>
    <col min="9485" max="9485" width="20.28515625" customWidth="1"/>
    <col min="9486" max="9488" width="18.7109375" customWidth="1"/>
    <col min="9489" max="9489" width="22.28515625" customWidth="1"/>
    <col min="9490" max="9490" width="14.7109375" customWidth="1"/>
    <col min="9491" max="9491" width="17.7109375" customWidth="1"/>
    <col min="9492" max="9495" width="0" hidden="1" customWidth="1"/>
    <col min="9496" max="9496" width="19.7109375" customWidth="1"/>
    <col min="9497" max="9497" width="19.28515625" customWidth="1"/>
    <col min="9498" max="9498" width="27.7109375" customWidth="1"/>
    <col min="9499" max="9499" width="34" customWidth="1"/>
    <col min="9500" max="9500" width="17.28515625" bestFit="1" customWidth="1"/>
    <col min="9501" max="9501" width="11.28515625" bestFit="1" customWidth="1"/>
    <col min="9502" max="9502" width="11" bestFit="1" customWidth="1"/>
    <col min="9729" max="9729" width="8" customWidth="1"/>
    <col min="9730" max="9730" width="0" hidden="1" customWidth="1"/>
    <col min="9731" max="9731" width="70.28515625" customWidth="1"/>
    <col min="9732" max="9732" width="13" customWidth="1"/>
    <col min="9733" max="9733" width="12.28515625" customWidth="1"/>
    <col min="9734" max="9734" width="13.28515625" customWidth="1"/>
    <col min="9735" max="9736" width="0" hidden="1" customWidth="1"/>
    <col min="9737" max="9737" width="25.5703125" customWidth="1"/>
    <col min="9738" max="9739" width="0" hidden="1" customWidth="1"/>
    <col min="9740" max="9740" width="19.42578125" customWidth="1"/>
    <col min="9741" max="9741" width="20.28515625" customWidth="1"/>
    <col min="9742" max="9744" width="18.7109375" customWidth="1"/>
    <col min="9745" max="9745" width="22.28515625" customWidth="1"/>
    <col min="9746" max="9746" width="14.7109375" customWidth="1"/>
    <col min="9747" max="9747" width="17.7109375" customWidth="1"/>
    <col min="9748" max="9751" width="0" hidden="1" customWidth="1"/>
    <col min="9752" max="9752" width="19.7109375" customWidth="1"/>
    <col min="9753" max="9753" width="19.28515625" customWidth="1"/>
    <col min="9754" max="9754" width="27.7109375" customWidth="1"/>
    <col min="9755" max="9755" width="34" customWidth="1"/>
    <col min="9756" max="9756" width="17.28515625" bestFit="1" customWidth="1"/>
    <col min="9757" max="9757" width="11.28515625" bestFit="1" customWidth="1"/>
    <col min="9758" max="9758" width="11" bestFit="1" customWidth="1"/>
    <col min="9985" max="9985" width="8" customWidth="1"/>
    <col min="9986" max="9986" width="0" hidden="1" customWidth="1"/>
    <col min="9987" max="9987" width="70.28515625" customWidth="1"/>
    <col min="9988" max="9988" width="13" customWidth="1"/>
    <col min="9989" max="9989" width="12.28515625" customWidth="1"/>
    <col min="9990" max="9990" width="13.28515625" customWidth="1"/>
    <col min="9991" max="9992" width="0" hidden="1" customWidth="1"/>
    <col min="9993" max="9993" width="25.5703125" customWidth="1"/>
    <col min="9994" max="9995" width="0" hidden="1" customWidth="1"/>
    <col min="9996" max="9996" width="19.42578125" customWidth="1"/>
    <col min="9997" max="9997" width="20.28515625" customWidth="1"/>
    <col min="9998" max="10000" width="18.7109375" customWidth="1"/>
    <col min="10001" max="10001" width="22.28515625" customWidth="1"/>
    <col min="10002" max="10002" width="14.7109375" customWidth="1"/>
    <col min="10003" max="10003" width="17.7109375" customWidth="1"/>
    <col min="10004" max="10007" width="0" hidden="1" customWidth="1"/>
    <col min="10008" max="10008" width="19.7109375" customWidth="1"/>
    <col min="10009" max="10009" width="19.28515625" customWidth="1"/>
    <col min="10010" max="10010" width="27.7109375" customWidth="1"/>
    <col min="10011" max="10011" width="34" customWidth="1"/>
    <col min="10012" max="10012" width="17.28515625" bestFit="1" customWidth="1"/>
    <col min="10013" max="10013" width="11.28515625" bestFit="1" customWidth="1"/>
    <col min="10014" max="10014" width="11" bestFit="1" customWidth="1"/>
    <col min="10241" max="10241" width="8" customWidth="1"/>
    <col min="10242" max="10242" width="0" hidden="1" customWidth="1"/>
    <col min="10243" max="10243" width="70.28515625" customWidth="1"/>
    <col min="10244" max="10244" width="13" customWidth="1"/>
    <col min="10245" max="10245" width="12.28515625" customWidth="1"/>
    <col min="10246" max="10246" width="13.28515625" customWidth="1"/>
    <col min="10247" max="10248" width="0" hidden="1" customWidth="1"/>
    <col min="10249" max="10249" width="25.5703125" customWidth="1"/>
    <col min="10250" max="10251" width="0" hidden="1" customWidth="1"/>
    <col min="10252" max="10252" width="19.42578125" customWidth="1"/>
    <col min="10253" max="10253" width="20.28515625" customWidth="1"/>
    <col min="10254" max="10256" width="18.7109375" customWidth="1"/>
    <col min="10257" max="10257" width="22.28515625" customWidth="1"/>
    <col min="10258" max="10258" width="14.7109375" customWidth="1"/>
    <col min="10259" max="10259" width="17.7109375" customWidth="1"/>
    <col min="10260" max="10263" width="0" hidden="1" customWidth="1"/>
    <col min="10264" max="10264" width="19.7109375" customWidth="1"/>
    <col min="10265" max="10265" width="19.28515625" customWidth="1"/>
    <col min="10266" max="10266" width="27.7109375" customWidth="1"/>
    <col min="10267" max="10267" width="34" customWidth="1"/>
    <col min="10268" max="10268" width="17.28515625" bestFit="1" customWidth="1"/>
    <col min="10269" max="10269" width="11.28515625" bestFit="1" customWidth="1"/>
    <col min="10270" max="10270" width="11" bestFit="1" customWidth="1"/>
    <col min="10497" max="10497" width="8" customWidth="1"/>
    <col min="10498" max="10498" width="0" hidden="1" customWidth="1"/>
    <col min="10499" max="10499" width="70.28515625" customWidth="1"/>
    <col min="10500" max="10500" width="13" customWidth="1"/>
    <col min="10501" max="10501" width="12.28515625" customWidth="1"/>
    <col min="10502" max="10502" width="13.28515625" customWidth="1"/>
    <col min="10503" max="10504" width="0" hidden="1" customWidth="1"/>
    <col min="10505" max="10505" width="25.5703125" customWidth="1"/>
    <col min="10506" max="10507" width="0" hidden="1" customWidth="1"/>
    <col min="10508" max="10508" width="19.42578125" customWidth="1"/>
    <col min="10509" max="10509" width="20.28515625" customWidth="1"/>
    <col min="10510" max="10512" width="18.7109375" customWidth="1"/>
    <col min="10513" max="10513" width="22.28515625" customWidth="1"/>
    <col min="10514" max="10514" width="14.7109375" customWidth="1"/>
    <col min="10515" max="10515" width="17.7109375" customWidth="1"/>
    <col min="10516" max="10519" width="0" hidden="1" customWidth="1"/>
    <col min="10520" max="10520" width="19.7109375" customWidth="1"/>
    <col min="10521" max="10521" width="19.28515625" customWidth="1"/>
    <col min="10522" max="10522" width="27.7109375" customWidth="1"/>
    <col min="10523" max="10523" width="34" customWidth="1"/>
    <col min="10524" max="10524" width="17.28515625" bestFit="1" customWidth="1"/>
    <col min="10525" max="10525" width="11.28515625" bestFit="1" customWidth="1"/>
    <col min="10526" max="10526" width="11" bestFit="1" customWidth="1"/>
    <col min="10753" max="10753" width="8" customWidth="1"/>
    <col min="10754" max="10754" width="0" hidden="1" customWidth="1"/>
    <col min="10755" max="10755" width="70.28515625" customWidth="1"/>
    <col min="10756" max="10756" width="13" customWidth="1"/>
    <col min="10757" max="10757" width="12.28515625" customWidth="1"/>
    <col min="10758" max="10758" width="13.28515625" customWidth="1"/>
    <col min="10759" max="10760" width="0" hidden="1" customWidth="1"/>
    <col min="10761" max="10761" width="25.5703125" customWidth="1"/>
    <col min="10762" max="10763" width="0" hidden="1" customWidth="1"/>
    <col min="10764" max="10764" width="19.42578125" customWidth="1"/>
    <col min="10765" max="10765" width="20.28515625" customWidth="1"/>
    <col min="10766" max="10768" width="18.7109375" customWidth="1"/>
    <col min="10769" max="10769" width="22.28515625" customWidth="1"/>
    <col min="10770" max="10770" width="14.7109375" customWidth="1"/>
    <col min="10771" max="10771" width="17.7109375" customWidth="1"/>
    <col min="10772" max="10775" width="0" hidden="1" customWidth="1"/>
    <col min="10776" max="10776" width="19.7109375" customWidth="1"/>
    <col min="10777" max="10777" width="19.28515625" customWidth="1"/>
    <col min="10778" max="10778" width="27.7109375" customWidth="1"/>
    <col min="10779" max="10779" width="34" customWidth="1"/>
    <col min="10780" max="10780" width="17.28515625" bestFit="1" customWidth="1"/>
    <col min="10781" max="10781" width="11.28515625" bestFit="1" customWidth="1"/>
    <col min="10782" max="10782" width="11" bestFit="1" customWidth="1"/>
    <col min="11009" max="11009" width="8" customWidth="1"/>
    <col min="11010" max="11010" width="0" hidden="1" customWidth="1"/>
    <col min="11011" max="11011" width="70.28515625" customWidth="1"/>
    <col min="11012" max="11012" width="13" customWidth="1"/>
    <col min="11013" max="11013" width="12.28515625" customWidth="1"/>
    <col min="11014" max="11014" width="13.28515625" customWidth="1"/>
    <col min="11015" max="11016" width="0" hidden="1" customWidth="1"/>
    <col min="11017" max="11017" width="25.5703125" customWidth="1"/>
    <col min="11018" max="11019" width="0" hidden="1" customWidth="1"/>
    <col min="11020" max="11020" width="19.42578125" customWidth="1"/>
    <col min="11021" max="11021" width="20.28515625" customWidth="1"/>
    <col min="11022" max="11024" width="18.7109375" customWidth="1"/>
    <col min="11025" max="11025" width="22.28515625" customWidth="1"/>
    <col min="11026" max="11026" width="14.7109375" customWidth="1"/>
    <col min="11027" max="11027" width="17.7109375" customWidth="1"/>
    <col min="11028" max="11031" width="0" hidden="1" customWidth="1"/>
    <col min="11032" max="11032" width="19.7109375" customWidth="1"/>
    <col min="11033" max="11033" width="19.28515625" customWidth="1"/>
    <col min="11034" max="11034" width="27.7109375" customWidth="1"/>
    <col min="11035" max="11035" width="34" customWidth="1"/>
    <col min="11036" max="11036" width="17.28515625" bestFit="1" customWidth="1"/>
    <col min="11037" max="11037" width="11.28515625" bestFit="1" customWidth="1"/>
    <col min="11038" max="11038" width="11" bestFit="1" customWidth="1"/>
    <col min="11265" max="11265" width="8" customWidth="1"/>
    <col min="11266" max="11266" width="0" hidden="1" customWidth="1"/>
    <col min="11267" max="11267" width="70.28515625" customWidth="1"/>
    <col min="11268" max="11268" width="13" customWidth="1"/>
    <col min="11269" max="11269" width="12.28515625" customWidth="1"/>
    <col min="11270" max="11270" width="13.28515625" customWidth="1"/>
    <col min="11271" max="11272" width="0" hidden="1" customWidth="1"/>
    <col min="11273" max="11273" width="25.5703125" customWidth="1"/>
    <col min="11274" max="11275" width="0" hidden="1" customWidth="1"/>
    <col min="11276" max="11276" width="19.42578125" customWidth="1"/>
    <col min="11277" max="11277" width="20.28515625" customWidth="1"/>
    <col min="11278" max="11280" width="18.7109375" customWidth="1"/>
    <col min="11281" max="11281" width="22.28515625" customWidth="1"/>
    <col min="11282" max="11282" width="14.7109375" customWidth="1"/>
    <col min="11283" max="11283" width="17.7109375" customWidth="1"/>
    <col min="11284" max="11287" width="0" hidden="1" customWidth="1"/>
    <col min="11288" max="11288" width="19.7109375" customWidth="1"/>
    <col min="11289" max="11289" width="19.28515625" customWidth="1"/>
    <col min="11290" max="11290" width="27.7109375" customWidth="1"/>
    <col min="11291" max="11291" width="34" customWidth="1"/>
    <col min="11292" max="11292" width="17.28515625" bestFit="1" customWidth="1"/>
    <col min="11293" max="11293" width="11.28515625" bestFit="1" customWidth="1"/>
    <col min="11294" max="11294" width="11" bestFit="1" customWidth="1"/>
    <col min="11521" max="11521" width="8" customWidth="1"/>
    <col min="11522" max="11522" width="0" hidden="1" customWidth="1"/>
    <col min="11523" max="11523" width="70.28515625" customWidth="1"/>
    <col min="11524" max="11524" width="13" customWidth="1"/>
    <col min="11525" max="11525" width="12.28515625" customWidth="1"/>
    <col min="11526" max="11526" width="13.28515625" customWidth="1"/>
    <col min="11527" max="11528" width="0" hidden="1" customWidth="1"/>
    <col min="11529" max="11529" width="25.5703125" customWidth="1"/>
    <col min="11530" max="11531" width="0" hidden="1" customWidth="1"/>
    <col min="11532" max="11532" width="19.42578125" customWidth="1"/>
    <col min="11533" max="11533" width="20.28515625" customWidth="1"/>
    <col min="11534" max="11536" width="18.7109375" customWidth="1"/>
    <col min="11537" max="11537" width="22.28515625" customWidth="1"/>
    <col min="11538" max="11538" width="14.7109375" customWidth="1"/>
    <col min="11539" max="11539" width="17.7109375" customWidth="1"/>
    <col min="11540" max="11543" width="0" hidden="1" customWidth="1"/>
    <col min="11544" max="11544" width="19.7109375" customWidth="1"/>
    <col min="11545" max="11545" width="19.28515625" customWidth="1"/>
    <col min="11546" max="11546" width="27.7109375" customWidth="1"/>
    <col min="11547" max="11547" width="34" customWidth="1"/>
    <col min="11548" max="11548" width="17.28515625" bestFit="1" customWidth="1"/>
    <col min="11549" max="11549" width="11.28515625" bestFit="1" customWidth="1"/>
    <col min="11550" max="11550" width="11" bestFit="1" customWidth="1"/>
    <col min="11777" max="11777" width="8" customWidth="1"/>
    <col min="11778" max="11778" width="0" hidden="1" customWidth="1"/>
    <col min="11779" max="11779" width="70.28515625" customWidth="1"/>
    <col min="11780" max="11780" width="13" customWidth="1"/>
    <col min="11781" max="11781" width="12.28515625" customWidth="1"/>
    <col min="11782" max="11782" width="13.28515625" customWidth="1"/>
    <col min="11783" max="11784" width="0" hidden="1" customWidth="1"/>
    <col min="11785" max="11785" width="25.5703125" customWidth="1"/>
    <col min="11786" max="11787" width="0" hidden="1" customWidth="1"/>
    <col min="11788" max="11788" width="19.42578125" customWidth="1"/>
    <col min="11789" max="11789" width="20.28515625" customWidth="1"/>
    <col min="11790" max="11792" width="18.7109375" customWidth="1"/>
    <col min="11793" max="11793" width="22.28515625" customWidth="1"/>
    <col min="11794" max="11794" width="14.7109375" customWidth="1"/>
    <col min="11795" max="11795" width="17.7109375" customWidth="1"/>
    <col min="11796" max="11799" width="0" hidden="1" customWidth="1"/>
    <col min="11800" max="11800" width="19.7109375" customWidth="1"/>
    <col min="11801" max="11801" width="19.28515625" customWidth="1"/>
    <col min="11802" max="11802" width="27.7109375" customWidth="1"/>
    <col min="11803" max="11803" width="34" customWidth="1"/>
    <col min="11804" max="11804" width="17.28515625" bestFit="1" customWidth="1"/>
    <col min="11805" max="11805" width="11.28515625" bestFit="1" customWidth="1"/>
    <col min="11806" max="11806" width="11" bestFit="1" customWidth="1"/>
    <col min="12033" max="12033" width="8" customWidth="1"/>
    <col min="12034" max="12034" width="0" hidden="1" customWidth="1"/>
    <col min="12035" max="12035" width="70.28515625" customWidth="1"/>
    <col min="12036" max="12036" width="13" customWidth="1"/>
    <col min="12037" max="12037" width="12.28515625" customWidth="1"/>
    <col min="12038" max="12038" width="13.28515625" customWidth="1"/>
    <col min="12039" max="12040" width="0" hidden="1" customWidth="1"/>
    <col min="12041" max="12041" width="25.5703125" customWidth="1"/>
    <col min="12042" max="12043" width="0" hidden="1" customWidth="1"/>
    <col min="12044" max="12044" width="19.42578125" customWidth="1"/>
    <col min="12045" max="12045" width="20.28515625" customWidth="1"/>
    <col min="12046" max="12048" width="18.7109375" customWidth="1"/>
    <col min="12049" max="12049" width="22.28515625" customWidth="1"/>
    <col min="12050" max="12050" width="14.7109375" customWidth="1"/>
    <col min="12051" max="12051" width="17.7109375" customWidth="1"/>
    <col min="12052" max="12055" width="0" hidden="1" customWidth="1"/>
    <col min="12056" max="12056" width="19.7109375" customWidth="1"/>
    <col min="12057" max="12057" width="19.28515625" customWidth="1"/>
    <col min="12058" max="12058" width="27.7109375" customWidth="1"/>
    <col min="12059" max="12059" width="34" customWidth="1"/>
    <col min="12060" max="12060" width="17.28515625" bestFit="1" customWidth="1"/>
    <col min="12061" max="12061" width="11.28515625" bestFit="1" customWidth="1"/>
    <col min="12062" max="12062" width="11" bestFit="1" customWidth="1"/>
    <col min="12289" max="12289" width="8" customWidth="1"/>
    <col min="12290" max="12290" width="0" hidden="1" customWidth="1"/>
    <col min="12291" max="12291" width="70.28515625" customWidth="1"/>
    <col min="12292" max="12292" width="13" customWidth="1"/>
    <col min="12293" max="12293" width="12.28515625" customWidth="1"/>
    <col min="12294" max="12294" width="13.28515625" customWidth="1"/>
    <col min="12295" max="12296" width="0" hidden="1" customWidth="1"/>
    <col min="12297" max="12297" width="25.5703125" customWidth="1"/>
    <col min="12298" max="12299" width="0" hidden="1" customWidth="1"/>
    <col min="12300" max="12300" width="19.42578125" customWidth="1"/>
    <col min="12301" max="12301" width="20.28515625" customWidth="1"/>
    <col min="12302" max="12304" width="18.7109375" customWidth="1"/>
    <col min="12305" max="12305" width="22.28515625" customWidth="1"/>
    <col min="12306" max="12306" width="14.7109375" customWidth="1"/>
    <col min="12307" max="12307" width="17.7109375" customWidth="1"/>
    <col min="12308" max="12311" width="0" hidden="1" customWidth="1"/>
    <col min="12312" max="12312" width="19.7109375" customWidth="1"/>
    <col min="12313" max="12313" width="19.28515625" customWidth="1"/>
    <col min="12314" max="12314" width="27.7109375" customWidth="1"/>
    <col min="12315" max="12315" width="34" customWidth="1"/>
    <col min="12316" max="12316" width="17.28515625" bestFit="1" customWidth="1"/>
    <col min="12317" max="12317" width="11.28515625" bestFit="1" customWidth="1"/>
    <col min="12318" max="12318" width="11" bestFit="1" customWidth="1"/>
    <col min="12545" max="12545" width="8" customWidth="1"/>
    <col min="12546" max="12546" width="0" hidden="1" customWidth="1"/>
    <col min="12547" max="12547" width="70.28515625" customWidth="1"/>
    <col min="12548" max="12548" width="13" customWidth="1"/>
    <col min="12549" max="12549" width="12.28515625" customWidth="1"/>
    <col min="12550" max="12550" width="13.28515625" customWidth="1"/>
    <col min="12551" max="12552" width="0" hidden="1" customWidth="1"/>
    <col min="12553" max="12553" width="25.5703125" customWidth="1"/>
    <col min="12554" max="12555" width="0" hidden="1" customWidth="1"/>
    <col min="12556" max="12556" width="19.42578125" customWidth="1"/>
    <col min="12557" max="12557" width="20.28515625" customWidth="1"/>
    <col min="12558" max="12560" width="18.7109375" customWidth="1"/>
    <col min="12561" max="12561" width="22.28515625" customWidth="1"/>
    <col min="12562" max="12562" width="14.7109375" customWidth="1"/>
    <col min="12563" max="12563" width="17.7109375" customWidth="1"/>
    <col min="12564" max="12567" width="0" hidden="1" customWidth="1"/>
    <col min="12568" max="12568" width="19.7109375" customWidth="1"/>
    <col min="12569" max="12569" width="19.28515625" customWidth="1"/>
    <col min="12570" max="12570" width="27.7109375" customWidth="1"/>
    <col min="12571" max="12571" width="34" customWidth="1"/>
    <col min="12572" max="12572" width="17.28515625" bestFit="1" customWidth="1"/>
    <col min="12573" max="12573" width="11.28515625" bestFit="1" customWidth="1"/>
    <col min="12574" max="12574" width="11" bestFit="1" customWidth="1"/>
    <col min="12801" max="12801" width="8" customWidth="1"/>
    <col min="12802" max="12802" width="0" hidden="1" customWidth="1"/>
    <col min="12803" max="12803" width="70.28515625" customWidth="1"/>
    <col min="12804" max="12804" width="13" customWidth="1"/>
    <col min="12805" max="12805" width="12.28515625" customWidth="1"/>
    <col min="12806" max="12806" width="13.28515625" customWidth="1"/>
    <col min="12807" max="12808" width="0" hidden="1" customWidth="1"/>
    <col min="12809" max="12809" width="25.5703125" customWidth="1"/>
    <col min="12810" max="12811" width="0" hidden="1" customWidth="1"/>
    <col min="12812" max="12812" width="19.42578125" customWidth="1"/>
    <col min="12813" max="12813" width="20.28515625" customWidth="1"/>
    <col min="12814" max="12816" width="18.7109375" customWidth="1"/>
    <col min="12817" max="12817" width="22.28515625" customWidth="1"/>
    <col min="12818" max="12818" width="14.7109375" customWidth="1"/>
    <col min="12819" max="12819" width="17.7109375" customWidth="1"/>
    <col min="12820" max="12823" width="0" hidden="1" customWidth="1"/>
    <col min="12824" max="12824" width="19.7109375" customWidth="1"/>
    <col min="12825" max="12825" width="19.28515625" customWidth="1"/>
    <col min="12826" max="12826" width="27.7109375" customWidth="1"/>
    <col min="12827" max="12827" width="34" customWidth="1"/>
    <col min="12828" max="12828" width="17.28515625" bestFit="1" customWidth="1"/>
    <col min="12829" max="12829" width="11.28515625" bestFit="1" customWidth="1"/>
    <col min="12830" max="12830" width="11" bestFit="1" customWidth="1"/>
    <col min="13057" max="13057" width="8" customWidth="1"/>
    <col min="13058" max="13058" width="0" hidden="1" customWidth="1"/>
    <col min="13059" max="13059" width="70.28515625" customWidth="1"/>
    <col min="13060" max="13060" width="13" customWidth="1"/>
    <col min="13061" max="13061" width="12.28515625" customWidth="1"/>
    <col min="13062" max="13062" width="13.28515625" customWidth="1"/>
    <col min="13063" max="13064" width="0" hidden="1" customWidth="1"/>
    <col min="13065" max="13065" width="25.5703125" customWidth="1"/>
    <col min="13066" max="13067" width="0" hidden="1" customWidth="1"/>
    <col min="13068" max="13068" width="19.42578125" customWidth="1"/>
    <col min="13069" max="13069" width="20.28515625" customWidth="1"/>
    <col min="13070" max="13072" width="18.7109375" customWidth="1"/>
    <col min="13073" max="13073" width="22.28515625" customWidth="1"/>
    <col min="13074" max="13074" width="14.7109375" customWidth="1"/>
    <col min="13075" max="13075" width="17.7109375" customWidth="1"/>
    <col min="13076" max="13079" width="0" hidden="1" customWidth="1"/>
    <col min="13080" max="13080" width="19.7109375" customWidth="1"/>
    <col min="13081" max="13081" width="19.28515625" customWidth="1"/>
    <col min="13082" max="13082" width="27.7109375" customWidth="1"/>
    <col min="13083" max="13083" width="34" customWidth="1"/>
    <col min="13084" max="13084" width="17.28515625" bestFit="1" customWidth="1"/>
    <col min="13085" max="13085" width="11.28515625" bestFit="1" customWidth="1"/>
    <col min="13086" max="13086" width="11" bestFit="1" customWidth="1"/>
    <col min="13313" max="13313" width="8" customWidth="1"/>
    <col min="13314" max="13314" width="0" hidden="1" customWidth="1"/>
    <col min="13315" max="13315" width="70.28515625" customWidth="1"/>
    <col min="13316" max="13316" width="13" customWidth="1"/>
    <col min="13317" max="13317" width="12.28515625" customWidth="1"/>
    <col min="13318" max="13318" width="13.28515625" customWidth="1"/>
    <col min="13319" max="13320" width="0" hidden="1" customWidth="1"/>
    <col min="13321" max="13321" width="25.5703125" customWidth="1"/>
    <col min="13322" max="13323" width="0" hidden="1" customWidth="1"/>
    <col min="13324" max="13324" width="19.42578125" customWidth="1"/>
    <col min="13325" max="13325" width="20.28515625" customWidth="1"/>
    <col min="13326" max="13328" width="18.7109375" customWidth="1"/>
    <col min="13329" max="13329" width="22.28515625" customWidth="1"/>
    <col min="13330" max="13330" width="14.7109375" customWidth="1"/>
    <col min="13331" max="13331" width="17.7109375" customWidth="1"/>
    <col min="13332" max="13335" width="0" hidden="1" customWidth="1"/>
    <col min="13336" max="13336" width="19.7109375" customWidth="1"/>
    <col min="13337" max="13337" width="19.28515625" customWidth="1"/>
    <col min="13338" max="13338" width="27.7109375" customWidth="1"/>
    <col min="13339" max="13339" width="34" customWidth="1"/>
    <col min="13340" max="13340" width="17.28515625" bestFit="1" customWidth="1"/>
    <col min="13341" max="13341" width="11.28515625" bestFit="1" customWidth="1"/>
    <col min="13342" max="13342" width="11" bestFit="1" customWidth="1"/>
    <col min="13569" max="13569" width="8" customWidth="1"/>
    <col min="13570" max="13570" width="0" hidden="1" customWidth="1"/>
    <col min="13571" max="13571" width="70.28515625" customWidth="1"/>
    <col min="13572" max="13572" width="13" customWidth="1"/>
    <col min="13573" max="13573" width="12.28515625" customWidth="1"/>
    <col min="13574" max="13574" width="13.28515625" customWidth="1"/>
    <col min="13575" max="13576" width="0" hidden="1" customWidth="1"/>
    <col min="13577" max="13577" width="25.5703125" customWidth="1"/>
    <col min="13578" max="13579" width="0" hidden="1" customWidth="1"/>
    <col min="13580" max="13580" width="19.42578125" customWidth="1"/>
    <col min="13581" max="13581" width="20.28515625" customWidth="1"/>
    <col min="13582" max="13584" width="18.7109375" customWidth="1"/>
    <col min="13585" max="13585" width="22.28515625" customWidth="1"/>
    <col min="13586" max="13586" width="14.7109375" customWidth="1"/>
    <col min="13587" max="13587" width="17.7109375" customWidth="1"/>
    <col min="13588" max="13591" width="0" hidden="1" customWidth="1"/>
    <col min="13592" max="13592" width="19.7109375" customWidth="1"/>
    <col min="13593" max="13593" width="19.28515625" customWidth="1"/>
    <col min="13594" max="13594" width="27.7109375" customWidth="1"/>
    <col min="13595" max="13595" width="34" customWidth="1"/>
    <col min="13596" max="13596" width="17.28515625" bestFit="1" customWidth="1"/>
    <col min="13597" max="13597" width="11.28515625" bestFit="1" customWidth="1"/>
    <col min="13598" max="13598" width="11" bestFit="1" customWidth="1"/>
    <col min="13825" max="13825" width="8" customWidth="1"/>
    <col min="13826" max="13826" width="0" hidden="1" customWidth="1"/>
    <col min="13827" max="13827" width="70.28515625" customWidth="1"/>
    <col min="13828" max="13828" width="13" customWidth="1"/>
    <col min="13829" max="13829" width="12.28515625" customWidth="1"/>
    <col min="13830" max="13830" width="13.28515625" customWidth="1"/>
    <col min="13831" max="13832" width="0" hidden="1" customWidth="1"/>
    <col min="13833" max="13833" width="25.5703125" customWidth="1"/>
    <col min="13834" max="13835" width="0" hidden="1" customWidth="1"/>
    <col min="13836" max="13836" width="19.42578125" customWidth="1"/>
    <col min="13837" max="13837" width="20.28515625" customWidth="1"/>
    <col min="13838" max="13840" width="18.7109375" customWidth="1"/>
    <col min="13841" max="13841" width="22.28515625" customWidth="1"/>
    <col min="13842" max="13842" width="14.7109375" customWidth="1"/>
    <col min="13843" max="13843" width="17.7109375" customWidth="1"/>
    <col min="13844" max="13847" width="0" hidden="1" customWidth="1"/>
    <col min="13848" max="13848" width="19.7109375" customWidth="1"/>
    <col min="13849" max="13849" width="19.28515625" customWidth="1"/>
    <col min="13850" max="13850" width="27.7109375" customWidth="1"/>
    <col min="13851" max="13851" width="34" customWidth="1"/>
    <col min="13852" max="13852" width="17.28515625" bestFit="1" customWidth="1"/>
    <col min="13853" max="13853" width="11.28515625" bestFit="1" customWidth="1"/>
    <col min="13854" max="13854" width="11" bestFit="1" customWidth="1"/>
    <col min="14081" max="14081" width="8" customWidth="1"/>
    <col min="14082" max="14082" width="0" hidden="1" customWidth="1"/>
    <col min="14083" max="14083" width="70.28515625" customWidth="1"/>
    <col min="14084" max="14084" width="13" customWidth="1"/>
    <col min="14085" max="14085" width="12.28515625" customWidth="1"/>
    <col min="14086" max="14086" width="13.28515625" customWidth="1"/>
    <col min="14087" max="14088" width="0" hidden="1" customWidth="1"/>
    <col min="14089" max="14089" width="25.5703125" customWidth="1"/>
    <col min="14090" max="14091" width="0" hidden="1" customWidth="1"/>
    <col min="14092" max="14092" width="19.42578125" customWidth="1"/>
    <col min="14093" max="14093" width="20.28515625" customWidth="1"/>
    <col min="14094" max="14096" width="18.7109375" customWidth="1"/>
    <col min="14097" max="14097" width="22.28515625" customWidth="1"/>
    <col min="14098" max="14098" width="14.7109375" customWidth="1"/>
    <col min="14099" max="14099" width="17.7109375" customWidth="1"/>
    <col min="14100" max="14103" width="0" hidden="1" customWidth="1"/>
    <col min="14104" max="14104" width="19.7109375" customWidth="1"/>
    <col min="14105" max="14105" width="19.28515625" customWidth="1"/>
    <col min="14106" max="14106" width="27.7109375" customWidth="1"/>
    <col min="14107" max="14107" width="34" customWidth="1"/>
    <col min="14108" max="14108" width="17.28515625" bestFit="1" customWidth="1"/>
    <col min="14109" max="14109" width="11.28515625" bestFit="1" customWidth="1"/>
    <col min="14110" max="14110" width="11" bestFit="1" customWidth="1"/>
    <col min="14337" max="14337" width="8" customWidth="1"/>
    <col min="14338" max="14338" width="0" hidden="1" customWidth="1"/>
    <col min="14339" max="14339" width="70.28515625" customWidth="1"/>
    <col min="14340" max="14340" width="13" customWidth="1"/>
    <col min="14341" max="14341" width="12.28515625" customWidth="1"/>
    <col min="14342" max="14342" width="13.28515625" customWidth="1"/>
    <col min="14343" max="14344" width="0" hidden="1" customWidth="1"/>
    <col min="14345" max="14345" width="25.5703125" customWidth="1"/>
    <col min="14346" max="14347" width="0" hidden="1" customWidth="1"/>
    <col min="14348" max="14348" width="19.42578125" customWidth="1"/>
    <col min="14349" max="14349" width="20.28515625" customWidth="1"/>
    <col min="14350" max="14352" width="18.7109375" customWidth="1"/>
    <col min="14353" max="14353" width="22.28515625" customWidth="1"/>
    <col min="14354" max="14354" width="14.7109375" customWidth="1"/>
    <col min="14355" max="14355" width="17.7109375" customWidth="1"/>
    <col min="14356" max="14359" width="0" hidden="1" customWidth="1"/>
    <col min="14360" max="14360" width="19.7109375" customWidth="1"/>
    <col min="14361" max="14361" width="19.28515625" customWidth="1"/>
    <col min="14362" max="14362" width="27.7109375" customWidth="1"/>
    <col min="14363" max="14363" width="34" customWidth="1"/>
    <col min="14364" max="14364" width="17.28515625" bestFit="1" customWidth="1"/>
    <col min="14365" max="14365" width="11.28515625" bestFit="1" customWidth="1"/>
    <col min="14366" max="14366" width="11" bestFit="1" customWidth="1"/>
    <col min="14593" max="14593" width="8" customWidth="1"/>
    <col min="14594" max="14594" width="0" hidden="1" customWidth="1"/>
    <col min="14595" max="14595" width="70.28515625" customWidth="1"/>
    <col min="14596" max="14596" width="13" customWidth="1"/>
    <col min="14597" max="14597" width="12.28515625" customWidth="1"/>
    <col min="14598" max="14598" width="13.28515625" customWidth="1"/>
    <col min="14599" max="14600" width="0" hidden="1" customWidth="1"/>
    <col min="14601" max="14601" width="25.5703125" customWidth="1"/>
    <col min="14602" max="14603" width="0" hidden="1" customWidth="1"/>
    <col min="14604" max="14604" width="19.42578125" customWidth="1"/>
    <col min="14605" max="14605" width="20.28515625" customWidth="1"/>
    <col min="14606" max="14608" width="18.7109375" customWidth="1"/>
    <col min="14609" max="14609" width="22.28515625" customWidth="1"/>
    <col min="14610" max="14610" width="14.7109375" customWidth="1"/>
    <col min="14611" max="14611" width="17.7109375" customWidth="1"/>
    <col min="14612" max="14615" width="0" hidden="1" customWidth="1"/>
    <col min="14616" max="14616" width="19.7109375" customWidth="1"/>
    <col min="14617" max="14617" width="19.28515625" customWidth="1"/>
    <col min="14618" max="14618" width="27.7109375" customWidth="1"/>
    <col min="14619" max="14619" width="34" customWidth="1"/>
    <col min="14620" max="14620" width="17.28515625" bestFit="1" customWidth="1"/>
    <col min="14621" max="14621" width="11.28515625" bestFit="1" customWidth="1"/>
    <col min="14622" max="14622" width="11" bestFit="1" customWidth="1"/>
    <col min="14849" max="14849" width="8" customWidth="1"/>
    <col min="14850" max="14850" width="0" hidden="1" customWidth="1"/>
    <col min="14851" max="14851" width="70.28515625" customWidth="1"/>
    <col min="14852" max="14852" width="13" customWidth="1"/>
    <col min="14853" max="14853" width="12.28515625" customWidth="1"/>
    <col min="14854" max="14854" width="13.28515625" customWidth="1"/>
    <col min="14855" max="14856" width="0" hidden="1" customWidth="1"/>
    <col min="14857" max="14857" width="25.5703125" customWidth="1"/>
    <col min="14858" max="14859" width="0" hidden="1" customWidth="1"/>
    <col min="14860" max="14860" width="19.42578125" customWidth="1"/>
    <col min="14861" max="14861" width="20.28515625" customWidth="1"/>
    <col min="14862" max="14864" width="18.7109375" customWidth="1"/>
    <col min="14865" max="14865" width="22.28515625" customWidth="1"/>
    <col min="14866" max="14866" width="14.7109375" customWidth="1"/>
    <col min="14867" max="14867" width="17.7109375" customWidth="1"/>
    <col min="14868" max="14871" width="0" hidden="1" customWidth="1"/>
    <col min="14872" max="14872" width="19.7109375" customWidth="1"/>
    <col min="14873" max="14873" width="19.28515625" customWidth="1"/>
    <col min="14874" max="14874" width="27.7109375" customWidth="1"/>
    <col min="14875" max="14875" width="34" customWidth="1"/>
    <col min="14876" max="14876" width="17.28515625" bestFit="1" customWidth="1"/>
    <col min="14877" max="14877" width="11.28515625" bestFit="1" customWidth="1"/>
    <col min="14878" max="14878" width="11" bestFit="1" customWidth="1"/>
    <col min="15105" max="15105" width="8" customWidth="1"/>
    <col min="15106" max="15106" width="0" hidden="1" customWidth="1"/>
    <col min="15107" max="15107" width="70.28515625" customWidth="1"/>
    <col min="15108" max="15108" width="13" customWidth="1"/>
    <col min="15109" max="15109" width="12.28515625" customWidth="1"/>
    <col min="15110" max="15110" width="13.28515625" customWidth="1"/>
    <col min="15111" max="15112" width="0" hidden="1" customWidth="1"/>
    <col min="15113" max="15113" width="25.5703125" customWidth="1"/>
    <col min="15114" max="15115" width="0" hidden="1" customWidth="1"/>
    <col min="15116" max="15116" width="19.42578125" customWidth="1"/>
    <col min="15117" max="15117" width="20.28515625" customWidth="1"/>
    <col min="15118" max="15120" width="18.7109375" customWidth="1"/>
    <col min="15121" max="15121" width="22.28515625" customWidth="1"/>
    <col min="15122" max="15122" width="14.7109375" customWidth="1"/>
    <col min="15123" max="15123" width="17.7109375" customWidth="1"/>
    <col min="15124" max="15127" width="0" hidden="1" customWidth="1"/>
    <col min="15128" max="15128" width="19.7109375" customWidth="1"/>
    <col min="15129" max="15129" width="19.28515625" customWidth="1"/>
    <col min="15130" max="15130" width="27.7109375" customWidth="1"/>
    <col min="15131" max="15131" width="34" customWidth="1"/>
    <col min="15132" max="15132" width="17.28515625" bestFit="1" customWidth="1"/>
    <col min="15133" max="15133" width="11.28515625" bestFit="1" customWidth="1"/>
    <col min="15134" max="15134" width="11" bestFit="1" customWidth="1"/>
    <col min="15361" max="15361" width="8" customWidth="1"/>
    <col min="15362" max="15362" width="0" hidden="1" customWidth="1"/>
    <col min="15363" max="15363" width="70.28515625" customWidth="1"/>
    <col min="15364" max="15364" width="13" customWidth="1"/>
    <col min="15365" max="15365" width="12.28515625" customWidth="1"/>
    <col min="15366" max="15366" width="13.28515625" customWidth="1"/>
    <col min="15367" max="15368" width="0" hidden="1" customWidth="1"/>
    <col min="15369" max="15369" width="25.5703125" customWidth="1"/>
    <col min="15370" max="15371" width="0" hidden="1" customWidth="1"/>
    <col min="15372" max="15372" width="19.42578125" customWidth="1"/>
    <col min="15373" max="15373" width="20.28515625" customWidth="1"/>
    <col min="15374" max="15376" width="18.7109375" customWidth="1"/>
    <col min="15377" max="15377" width="22.28515625" customWidth="1"/>
    <col min="15378" max="15378" width="14.7109375" customWidth="1"/>
    <col min="15379" max="15379" width="17.7109375" customWidth="1"/>
    <col min="15380" max="15383" width="0" hidden="1" customWidth="1"/>
    <col min="15384" max="15384" width="19.7109375" customWidth="1"/>
    <col min="15385" max="15385" width="19.28515625" customWidth="1"/>
    <col min="15386" max="15386" width="27.7109375" customWidth="1"/>
    <col min="15387" max="15387" width="34" customWidth="1"/>
    <col min="15388" max="15388" width="17.28515625" bestFit="1" customWidth="1"/>
    <col min="15389" max="15389" width="11.28515625" bestFit="1" customWidth="1"/>
    <col min="15390" max="15390" width="11" bestFit="1" customWidth="1"/>
    <col min="15617" max="15617" width="8" customWidth="1"/>
    <col min="15618" max="15618" width="0" hidden="1" customWidth="1"/>
    <col min="15619" max="15619" width="70.28515625" customWidth="1"/>
    <col min="15620" max="15620" width="13" customWidth="1"/>
    <col min="15621" max="15621" width="12.28515625" customWidth="1"/>
    <col min="15622" max="15622" width="13.28515625" customWidth="1"/>
    <col min="15623" max="15624" width="0" hidden="1" customWidth="1"/>
    <col min="15625" max="15625" width="25.5703125" customWidth="1"/>
    <col min="15626" max="15627" width="0" hidden="1" customWidth="1"/>
    <col min="15628" max="15628" width="19.42578125" customWidth="1"/>
    <col min="15629" max="15629" width="20.28515625" customWidth="1"/>
    <col min="15630" max="15632" width="18.7109375" customWidth="1"/>
    <col min="15633" max="15633" width="22.28515625" customWidth="1"/>
    <col min="15634" max="15634" width="14.7109375" customWidth="1"/>
    <col min="15635" max="15635" width="17.7109375" customWidth="1"/>
    <col min="15636" max="15639" width="0" hidden="1" customWidth="1"/>
    <col min="15640" max="15640" width="19.7109375" customWidth="1"/>
    <col min="15641" max="15641" width="19.28515625" customWidth="1"/>
    <col min="15642" max="15642" width="27.7109375" customWidth="1"/>
    <col min="15643" max="15643" width="34" customWidth="1"/>
    <col min="15644" max="15644" width="17.28515625" bestFit="1" customWidth="1"/>
    <col min="15645" max="15645" width="11.28515625" bestFit="1" customWidth="1"/>
    <col min="15646" max="15646" width="11" bestFit="1" customWidth="1"/>
    <col min="15873" max="15873" width="8" customWidth="1"/>
    <col min="15874" max="15874" width="0" hidden="1" customWidth="1"/>
    <col min="15875" max="15875" width="70.28515625" customWidth="1"/>
    <col min="15876" max="15876" width="13" customWidth="1"/>
    <col min="15877" max="15877" width="12.28515625" customWidth="1"/>
    <col min="15878" max="15878" width="13.28515625" customWidth="1"/>
    <col min="15879" max="15880" width="0" hidden="1" customWidth="1"/>
    <col min="15881" max="15881" width="25.5703125" customWidth="1"/>
    <col min="15882" max="15883" width="0" hidden="1" customWidth="1"/>
    <col min="15884" max="15884" width="19.42578125" customWidth="1"/>
    <col min="15885" max="15885" width="20.28515625" customWidth="1"/>
    <col min="15886" max="15888" width="18.7109375" customWidth="1"/>
    <col min="15889" max="15889" width="22.28515625" customWidth="1"/>
    <col min="15890" max="15890" width="14.7109375" customWidth="1"/>
    <col min="15891" max="15891" width="17.7109375" customWidth="1"/>
    <col min="15892" max="15895" width="0" hidden="1" customWidth="1"/>
    <col min="15896" max="15896" width="19.7109375" customWidth="1"/>
    <col min="15897" max="15897" width="19.28515625" customWidth="1"/>
    <col min="15898" max="15898" width="27.7109375" customWidth="1"/>
    <col min="15899" max="15899" width="34" customWidth="1"/>
    <col min="15900" max="15900" width="17.28515625" bestFit="1" customWidth="1"/>
    <col min="15901" max="15901" width="11.28515625" bestFit="1" customWidth="1"/>
    <col min="15902" max="15902" width="11" bestFit="1" customWidth="1"/>
    <col min="16129" max="16129" width="8" customWidth="1"/>
    <col min="16130" max="16130" width="0" hidden="1" customWidth="1"/>
    <col min="16131" max="16131" width="70.28515625" customWidth="1"/>
    <col min="16132" max="16132" width="13" customWidth="1"/>
    <col min="16133" max="16133" width="12.28515625" customWidth="1"/>
    <col min="16134" max="16134" width="13.28515625" customWidth="1"/>
    <col min="16135" max="16136" width="0" hidden="1" customWidth="1"/>
    <col min="16137" max="16137" width="25.5703125" customWidth="1"/>
    <col min="16138" max="16139" width="0" hidden="1" customWidth="1"/>
    <col min="16140" max="16140" width="19.42578125" customWidth="1"/>
    <col min="16141" max="16141" width="20.28515625" customWidth="1"/>
    <col min="16142" max="16144" width="18.7109375" customWidth="1"/>
    <col min="16145" max="16145" width="22.28515625" customWidth="1"/>
    <col min="16146" max="16146" width="14.7109375" customWidth="1"/>
    <col min="16147" max="16147" width="17.7109375" customWidth="1"/>
    <col min="16148" max="16151" width="0" hidden="1" customWidth="1"/>
    <col min="16152" max="16152" width="19.7109375" customWidth="1"/>
    <col min="16153" max="16153" width="19.28515625" customWidth="1"/>
    <col min="16154" max="16154" width="27.7109375" customWidth="1"/>
    <col min="16155" max="16155" width="34" customWidth="1"/>
    <col min="16156" max="16156" width="17.28515625" bestFit="1" customWidth="1"/>
    <col min="16157" max="16157" width="11.28515625" bestFit="1" customWidth="1"/>
    <col min="16158" max="16158" width="11" bestFit="1" customWidth="1"/>
  </cols>
  <sheetData>
    <row r="1" spans="1:29" ht="23.25" x14ac:dyDescent="0.35">
      <c r="A1" s="627"/>
      <c r="B1" s="627"/>
      <c r="C1" s="628"/>
      <c r="D1" s="628"/>
      <c r="E1" s="629"/>
      <c r="F1" s="627"/>
      <c r="G1" s="627"/>
      <c r="H1" s="627"/>
      <c r="I1" s="630"/>
      <c r="J1" s="630"/>
      <c r="K1" s="631"/>
      <c r="L1" s="631"/>
      <c r="M1" s="631"/>
      <c r="N1" s="631"/>
      <c r="O1" s="631"/>
      <c r="P1" s="631"/>
      <c r="Q1" s="631"/>
      <c r="R1" s="632"/>
      <c r="S1" s="631"/>
      <c r="T1" s="631"/>
      <c r="U1" s="631"/>
      <c r="V1" s="631"/>
      <c r="W1" s="631"/>
      <c r="X1" s="631"/>
      <c r="Y1" s="633"/>
      <c r="Z1" s="633"/>
      <c r="AA1" s="633"/>
      <c r="AB1" s="633"/>
      <c r="AC1" s="633"/>
    </row>
    <row r="2" spans="1:29" ht="25.5" x14ac:dyDescent="0.35">
      <c r="A2" s="627"/>
      <c r="B2" s="627"/>
      <c r="C2" s="628"/>
      <c r="D2" s="628"/>
      <c r="E2" s="629"/>
      <c r="F2" s="627"/>
      <c r="G2" s="627"/>
      <c r="H2" s="627"/>
      <c r="I2" s="630"/>
      <c r="J2" s="630"/>
      <c r="K2" s="631"/>
      <c r="L2" s="631"/>
      <c r="M2" s="631"/>
      <c r="N2" s="631"/>
      <c r="O2" s="631"/>
      <c r="P2" s="631"/>
      <c r="Q2" s="631"/>
      <c r="R2" s="632"/>
      <c r="S2" s="1068" t="s">
        <v>373</v>
      </c>
      <c r="T2" s="1068"/>
      <c r="U2" s="1068"/>
      <c r="V2" s="1068"/>
      <c r="W2" s="1068"/>
      <c r="X2" s="1068"/>
      <c r="Y2" s="1068"/>
      <c r="Z2" s="1068"/>
      <c r="AA2" s="1068"/>
      <c r="AB2" s="633"/>
      <c r="AC2" s="633"/>
    </row>
    <row r="3" spans="1:29" ht="34.5" customHeight="1" x14ac:dyDescent="0.35">
      <c r="A3" s="627"/>
      <c r="B3" s="627"/>
      <c r="C3" s="628"/>
      <c r="D3" s="628"/>
      <c r="E3" s="629"/>
      <c r="F3" s="627"/>
      <c r="G3" s="627"/>
      <c r="H3" s="627"/>
      <c r="I3" s="630"/>
      <c r="J3" s="630"/>
      <c r="K3" s="631"/>
      <c r="L3" s="631"/>
      <c r="M3" s="631"/>
      <c r="N3" s="1068" t="s">
        <v>490</v>
      </c>
      <c r="O3" s="1068"/>
      <c r="P3" s="1068"/>
      <c r="Q3" s="1068"/>
      <c r="R3" s="1068"/>
      <c r="S3" s="1068"/>
      <c r="T3" s="1068"/>
      <c r="U3" s="1068"/>
      <c r="V3" s="1068"/>
      <c r="W3" s="1068"/>
      <c r="X3" s="1068"/>
      <c r="Y3" s="1068"/>
      <c r="Z3" s="1068"/>
      <c r="AA3" s="1068"/>
      <c r="AB3" s="633"/>
      <c r="AC3" s="633"/>
    </row>
    <row r="4" spans="1:29" ht="43.5" customHeight="1" x14ac:dyDescent="0.35">
      <c r="A4" s="627"/>
      <c r="B4" s="627"/>
      <c r="C4" s="628"/>
      <c r="D4" s="628"/>
      <c r="E4" s="629"/>
      <c r="F4" s="627"/>
      <c r="G4" s="627"/>
      <c r="H4" s="627"/>
      <c r="I4" s="630"/>
      <c r="J4" s="630"/>
      <c r="K4" s="631"/>
      <c r="L4" s="631"/>
      <c r="M4" s="631"/>
      <c r="N4" s="631"/>
      <c r="O4" s="631"/>
      <c r="P4" s="631"/>
      <c r="Q4" s="631"/>
      <c r="R4" s="632"/>
      <c r="S4" s="634"/>
      <c r="T4" s="634"/>
      <c r="U4" s="634"/>
      <c r="V4" s="634"/>
      <c r="W4" s="634"/>
      <c r="X4" s="635"/>
      <c r="Y4" s="636"/>
      <c r="Z4" s="636"/>
      <c r="AA4" s="636"/>
      <c r="AB4" s="633"/>
      <c r="AC4" s="633"/>
    </row>
    <row r="5" spans="1:29" ht="25.5" x14ac:dyDescent="0.35">
      <c r="A5" s="627"/>
      <c r="B5" s="627"/>
      <c r="C5" s="628"/>
      <c r="D5" s="628"/>
      <c r="E5" s="629"/>
      <c r="F5" s="627"/>
      <c r="G5" s="627"/>
      <c r="H5" s="627"/>
      <c r="I5" s="630"/>
      <c r="J5" s="630"/>
      <c r="K5" s="631"/>
      <c r="L5" s="631"/>
      <c r="M5" s="631"/>
      <c r="N5" s="631"/>
      <c r="O5" s="631"/>
      <c r="P5" s="631"/>
      <c r="Q5" s="631"/>
      <c r="R5" s="632"/>
      <c r="S5" s="634"/>
      <c r="T5" s="634"/>
      <c r="U5" s="634"/>
      <c r="V5" s="634"/>
      <c r="W5" s="634"/>
      <c r="X5" s="635"/>
      <c r="Y5" s="636" t="s">
        <v>374</v>
      </c>
      <c r="Z5" s="636"/>
      <c r="AA5" s="637" t="s">
        <v>375</v>
      </c>
      <c r="AB5" s="633"/>
      <c r="AC5" s="633"/>
    </row>
    <row r="6" spans="1:29" ht="19.5" customHeight="1" x14ac:dyDescent="0.35">
      <c r="A6" s="627"/>
      <c r="B6" s="627"/>
      <c r="C6" s="628"/>
      <c r="D6" s="631"/>
      <c r="E6" s="638"/>
      <c r="F6" s="633"/>
      <c r="G6" s="631"/>
      <c r="H6" s="633"/>
      <c r="I6" s="633"/>
      <c r="J6" s="630"/>
      <c r="K6" s="631"/>
      <c r="L6" s="631"/>
      <c r="M6" s="631"/>
      <c r="N6" s="631"/>
      <c r="O6" s="631"/>
      <c r="P6" s="631"/>
      <c r="Q6" s="631"/>
      <c r="R6" s="632"/>
      <c r="S6" s="634"/>
      <c r="T6" s="634"/>
      <c r="U6" s="634"/>
      <c r="V6" s="634"/>
      <c r="W6" s="634"/>
      <c r="X6" s="635"/>
      <c r="Y6" s="636"/>
      <c r="Z6" s="636"/>
      <c r="AA6" s="636"/>
      <c r="AB6" s="633"/>
      <c r="AC6" s="633"/>
    </row>
    <row r="7" spans="1:29" ht="30" customHeight="1" x14ac:dyDescent="0.35">
      <c r="A7" s="627"/>
      <c r="B7" s="627"/>
      <c r="C7" s="628"/>
      <c r="D7" s="628"/>
      <c r="E7" s="629"/>
      <c r="F7" s="627"/>
      <c r="G7" s="627"/>
      <c r="H7" s="627"/>
      <c r="I7" s="630"/>
      <c r="J7" s="630"/>
      <c r="K7" s="631"/>
      <c r="L7" s="631"/>
      <c r="M7" s="631"/>
      <c r="N7" s="631"/>
      <c r="O7" s="631"/>
      <c r="P7" s="631"/>
      <c r="Q7" s="631"/>
      <c r="R7" s="632"/>
      <c r="S7" s="634"/>
      <c r="T7" s="634"/>
      <c r="U7" s="634"/>
      <c r="V7" s="634"/>
      <c r="W7" s="634"/>
      <c r="X7" s="1068" t="s">
        <v>376</v>
      </c>
      <c r="Y7" s="1068"/>
      <c r="Z7" s="1068"/>
      <c r="AA7" s="1068"/>
      <c r="AB7" s="633"/>
      <c r="AC7" s="631"/>
    </row>
    <row r="8" spans="1:29" ht="27" customHeight="1" x14ac:dyDescent="0.35">
      <c r="A8" s="627"/>
      <c r="B8" s="627"/>
      <c r="C8" s="628"/>
      <c r="D8" s="628"/>
      <c r="E8" s="629"/>
      <c r="F8" s="627"/>
      <c r="G8" s="627"/>
      <c r="H8" s="627"/>
      <c r="I8" s="630"/>
      <c r="J8" s="630"/>
      <c r="K8" s="631"/>
      <c r="L8" s="631"/>
      <c r="M8" s="631"/>
      <c r="N8" s="631"/>
      <c r="O8" s="631"/>
      <c r="P8" s="631"/>
      <c r="Q8" s="631"/>
      <c r="R8" s="632"/>
      <c r="S8" s="634"/>
      <c r="T8" s="634"/>
      <c r="U8" s="634"/>
      <c r="V8" s="634"/>
      <c r="W8" s="634"/>
      <c r="X8" s="635"/>
      <c r="Y8" s="636"/>
      <c r="Z8" s="636"/>
      <c r="AA8" s="636"/>
      <c r="AB8" s="633"/>
      <c r="AC8" s="633"/>
    </row>
    <row r="9" spans="1:29" ht="61.5" customHeight="1" outlineLevel="1" x14ac:dyDescent="0.35">
      <c r="A9" s="1069" t="s">
        <v>377</v>
      </c>
      <c r="B9" s="1069"/>
      <c r="C9" s="1069"/>
      <c r="D9" s="1069"/>
      <c r="E9" s="1069"/>
      <c r="F9" s="1069"/>
      <c r="G9" s="1069"/>
      <c r="H9" s="1069"/>
      <c r="I9" s="1069"/>
      <c r="J9" s="1069"/>
      <c r="K9" s="1069"/>
      <c r="L9" s="1069"/>
      <c r="M9" s="1069"/>
      <c r="N9" s="1069"/>
      <c r="O9" s="1069"/>
      <c r="P9" s="1069"/>
      <c r="Q9" s="1069"/>
      <c r="R9" s="1069"/>
      <c r="S9" s="1069"/>
      <c r="T9" s="1069"/>
      <c r="U9" s="1069"/>
      <c r="V9" s="1069"/>
      <c r="W9" s="1069"/>
      <c r="X9" s="1069"/>
      <c r="Y9" s="1069"/>
      <c r="Z9" s="1069"/>
      <c r="AA9" s="1069"/>
      <c r="AB9" s="633"/>
      <c r="AC9" s="633"/>
    </row>
    <row r="10" spans="1:29" ht="42.75" customHeight="1" outlineLevel="1" x14ac:dyDescent="0.35">
      <c r="A10" s="1069" t="s">
        <v>378</v>
      </c>
      <c r="B10" s="1069"/>
      <c r="C10" s="1069"/>
      <c r="D10" s="1069"/>
      <c r="E10" s="1069"/>
      <c r="F10" s="1069"/>
      <c r="G10" s="1069"/>
      <c r="H10" s="1069"/>
      <c r="I10" s="1069"/>
      <c r="J10" s="1069"/>
      <c r="K10" s="1069"/>
      <c r="L10" s="1069"/>
      <c r="M10" s="1069"/>
      <c r="N10" s="1069"/>
      <c r="O10" s="1069"/>
      <c r="P10" s="1069"/>
      <c r="Q10" s="1069"/>
      <c r="R10" s="1069"/>
      <c r="S10" s="1069"/>
      <c r="T10" s="1069"/>
      <c r="U10" s="1069"/>
      <c r="V10" s="1069"/>
      <c r="W10" s="1069"/>
      <c r="X10" s="1069"/>
      <c r="Y10" s="1069"/>
      <c r="Z10" s="1069"/>
      <c r="AA10" s="1069"/>
      <c r="AB10" s="633"/>
      <c r="AC10" s="633"/>
    </row>
    <row r="11" spans="1:29" ht="9" customHeight="1" thickBot="1" x14ac:dyDescent="0.4">
      <c r="A11" s="639"/>
      <c r="B11" s="639"/>
      <c r="C11" s="639"/>
      <c r="D11" s="639"/>
      <c r="E11" s="640"/>
      <c r="F11" s="639"/>
      <c r="G11" s="639"/>
      <c r="H11" s="639"/>
      <c r="I11" s="641"/>
      <c r="J11" s="641"/>
      <c r="K11" s="631"/>
      <c r="L11" s="631"/>
      <c r="M11" s="631"/>
      <c r="N11" s="631"/>
      <c r="O11" s="631"/>
      <c r="P11" s="631"/>
      <c r="Q11" s="631"/>
      <c r="R11" s="632"/>
      <c r="S11" s="631"/>
      <c r="T11" s="631"/>
      <c r="U11" s="631"/>
      <c r="V11" s="631"/>
      <c r="W11" s="631"/>
      <c r="X11" s="631"/>
      <c r="Y11" s="633"/>
      <c r="Z11" s="633"/>
      <c r="AA11" s="633"/>
      <c r="AB11" s="633"/>
      <c r="AC11" s="633"/>
    </row>
    <row r="12" spans="1:29" ht="44.25" customHeight="1" x14ac:dyDescent="0.35">
      <c r="A12" s="1070" t="s">
        <v>379</v>
      </c>
      <c r="B12" s="1073" t="s">
        <v>380</v>
      </c>
      <c r="C12" s="1076" t="s">
        <v>381</v>
      </c>
      <c r="D12" s="1076" t="s">
        <v>382</v>
      </c>
      <c r="E12" s="1076" t="s">
        <v>383</v>
      </c>
      <c r="F12" s="1076"/>
      <c r="G12" s="1076"/>
      <c r="H12" s="1076"/>
      <c r="I12" s="1060" t="s">
        <v>384</v>
      </c>
      <c r="J12" s="1060" t="s">
        <v>385</v>
      </c>
      <c r="K12" s="1061" t="s">
        <v>386</v>
      </c>
      <c r="L12" s="1067" t="s">
        <v>387</v>
      </c>
      <c r="M12" s="1067"/>
      <c r="N12" s="1067"/>
      <c r="O12" s="1067"/>
      <c r="P12" s="1067" t="s">
        <v>388</v>
      </c>
      <c r="Q12" s="1067"/>
      <c r="R12" s="1067" t="s">
        <v>389</v>
      </c>
      <c r="S12" s="1067"/>
      <c r="T12" s="1060"/>
      <c r="U12" s="1060"/>
      <c r="V12" s="1061" t="s">
        <v>390</v>
      </c>
      <c r="W12" s="1061" t="s">
        <v>391</v>
      </c>
      <c r="X12" s="1062" t="s">
        <v>392</v>
      </c>
      <c r="Y12" s="1062" t="s">
        <v>393</v>
      </c>
      <c r="Z12" s="1062" t="s">
        <v>394</v>
      </c>
      <c r="AA12" s="1052" t="s">
        <v>395</v>
      </c>
      <c r="AB12" s="633"/>
      <c r="AC12" s="633"/>
    </row>
    <row r="13" spans="1:29" ht="27.75" customHeight="1" x14ac:dyDescent="0.35">
      <c r="A13" s="1071"/>
      <c r="B13" s="1074"/>
      <c r="C13" s="1077"/>
      <c r="D13" s="1077"/>
      <c r="E13" s="1079"/>
      <c r="F13" s="1079"/>
      <c r="G13" s="1079"/>
      <c r="H13" s="1079"/>
      <c r="I13" s="1065"/>
      <c r="J13" s="1065"/>
      <c r="K13" s="1055"/>
      <c r="L13" s="1055" t="s">
        <v>396</v>
      </c>
      <c r="M13" s="1055" t="s">
        <v>397</v>
      </c>
      <c r="N13" s="1055" t="s">
        <v>398</v>
      </c>
      <c r="O13" s="1055" t="s">
        <v>399</v>
      </c>
      <c r="P13" s="1055" t="s">
        <v>400</v>
      </c>
      <c r="Q13" s="1055" t="s">
        <v>401</v>
      </c>
      <c r="R13" s="1058" t="s">
        <v>402</v>
      </c>
      <c r="S13" s="1055" t="s">
        <v>403</v>
      </c>
      <c r="T13" s="1055"/>
      <c r="U13" s="1055"/>
      <c r="V13" s="1055"/>
      <c r="W13" s="1055"/>
      <c r="X13" s="1063"/>
      <c r="Y13" s="1063"/>
      <c r="Z13" s="1063"/>
      <c r="AA13" s="1053"/>
      <c r="AB13" s="633"/>
      <c r="AC13" s="633"/>
    </row>
    <row r="14" spans="1:29" ht="97.5" customHeight="1" thickBot="1" x14ac:dyDescent="0.4">
      <c r="A14" s="1072"/>
      <c r="B14" s="1075"/>
      <c r="C14" s="1078"/>
      <c r="D14" s="1078"/>
      <c r="E14" s="1080"/>
      <c r="F14" s="1080"/>
      <c r="G14" s="1080"/>
      <c r="H14" s="1080"/>
      <c r="I14" s="1066"/>
      <c r="J14" s="1066"/>
      <c r="K14" s="1056"/>
      <c r="L14" s="1056"/>
      <c r="M14" s="1056"/>
      <c r="N14" s="1056"/>
      <c r="O14" s="1057"/>
      <c r="P14" s="1056"/>
      <c r="Q14" s="1056"/>
      <c r="R14" s="1059"/>
      <c r="S14" s="1056"/>
      <c r="T14" s="1056"/>
      <c r="U14" s="1056"/>
      <c r="V14" s="1056"/>
      <c r="W14" s="1056"/>
      <c r="X14" s="1064"/>
      <c r="Y14" s="1064"/>
      <c r="Z14" s="1064"/>
      <c r="AA14" s="1054"/>
      <c r="AB14" s="633"/>
      <c r="AC14" s="633"/>
    </row>
    <row r="15" spans="1:29" s="642" customFormat="1" ht="24.75" customHeight="1" thickBot="1" x14ac:dyDescent="0.25">
      <c r="A15" s="806">
        <v>1</v>
      </c>
      <c r="B15" s="807">
        <v>2</v>
      </c>
      <c r="C15" s="807">
        <v>2</v>
      </c>
      <c r="D15" s="807">
        <v>3</v>
      </c>
      <c r="E15" s="807">
        <v>4</v>
      </c>
      <c r="F15" s="807">
        <v>5</v>
      </c>
      <c r="G15" s="807"/>
      <c r="H15" s="807">
        <v>7</v>
      </c>
      <c r="I15" s="808">
        <v>6</v>
      </c>
      <c r="J15" s="808">
        <v>8</v>
      </c>
      <c r="K15" s="808">
        <v>9</v>
      </c>
      <c r="L15" s="808">
        <v>7</v>
      </c>
      <c r="M15" s="808">
        <v>8</v>
      </c>
      <c r="N15" s="808">
        <v>9</v>
      </c>
      <c r="O15" s="808">
        <v>10</v>
      </c>
      <c r="P15" s="808">
        <v>11</v>
      </c>
      <c r="Q15" s="808">
        <v>12</v>
      </c>
      <c r="R15" s="809" t="s">
        <v>404</v>
      </c>
      <c r="S15" s="808">
        <v>14</v>
      </c>
      <c r="T15" s="808"/>
      <c r="U15" s="808">
        <v>12</v>
      </c>
      <c r="V15" s="808">
        <v>13</v>
      </c>
      <c r="W15" s="808">
        <v>14</v>
      </c>
      <c r="X15" s="810">
        <v>15</v>
      </c>
      <c r="Y15" s="810">
        <v>16</v>
      </c>
      <c r="Z15" s="810">
        <v>17</v>
      </c>
      <c r="AA15" s="811">
        <v>18</v>
      </c>
    </row>
    <row r="16" spans="1:29" ht="127.5" hidden="1" customHeight="1" x14ac:dyDescent="0.35">
      <c r="A16" s="792">
        <v>1</v>
      </c>
      <c r="B16" s="651">
        <v>1</v>
      </c>
      <c r="C16" s="793" t="s">
        <v>465</v>
      </c>
      <c r="D16" s="794" t="s">
        <v>405</v>
      </c>
      <c r="E16" s="795">
        <v>4</v>
      </c>
      <c r="F16" s="796"/>
      <c r="G16" s="651"/>
      <c r="H16" s="651"/>
      <c r="I16" s="797">
        <f>'ДОРОЖНЫЙ ПРИЗЫВ'!H9</f>
        <v>132738.723</v>
      </c>
      <c r="J16" s="798" t="s">
        <v>406</v>
      </c>
      <c r="K16" s="651">
        <v>3</v>
      </c>
      <c r="L16" s="799"/>
      <c r="M16" s="799"/>
      <c r="N16" s="799"/>
      <c r="O16" s="799"/>
      <c r="P16" s="799"/>
      <c r="Q16" s="799"/>
      <c r="R16" s="800"/>
      <c r="S16" s="800"/>
      <c r="T16" s="801"/>
      <c r="U16" s="801"/>
      <c r="V16" s="802"/>
      <c r="W16" s="802"/>
      <c r="X16" s="800"/>
      <c r="Y16" s="803"/>
      <c r="Z16" s="804"/>
      <c r="AA16" s="805" t="s">
        <v>462</v>
      </c>
      <c r="AB16" s="745" t="s">
        <v>460</v>
      </c>
      <c r="AC16" s="633"/>
    </row>
    <row r="17" spans="1:46" ht="117.75" customHeight="1" x14ac:dyDescent="0.35">
      <c r="A17" s="759">
        <v>1</v>
      </c>
      <c r="B17" s="754">
        <f>B16+1</f>
        <v>2</v>
      </c>
      <c r="C17" s="712" t="s">
        <v>207</v>
      </c>
      <c r="D17" s="703" t="s">
        <v>405</v>
      </c>
      <c r="E17" s="708">
        <v>9.9440000000000008</v>
      </c>
      <c r="F17" s="709"/>
      <c r="G17" s="754"/>
      <c r="H17" s="754"/>
      <c r="I17" s="705">
        <f>'ДОРОЖНЫЙ ПРИЗЫВ'!H10</f>
        <v>255500</v>
      </c>
      <c r="J17" s="710" t="s">
        <v>458</v>
      </c>
      <c r="K17" s="754">
        <v>2</v>
      </c>
      <c r="L17" s="711" t="s">
        <v>75</v>
      </c>
      <c r="M17" s="752" t="s">
        <v>75</v>
      </c>
      <c r="N17" s="752" t="s">
        <v>468</v>
      </c>
      <c r="O17" s="752" t="s">
        <v>469</v>
      </c>
      <c r="P17" s="752"/>
      <c r="Q17" s="752"/>
      <c r="R17" s="752"/>
      <c r="S17" s="752"/>
      <c r="T17" s="753"/>
      <c r="U17" s="753"/>
      <c r="V17" s="752"/>
      <c r="W17" s="752"/>
      <c r="X17" s="752"/>
      <c r="Y17" s="747"/>
      <c r="Z17" s="753"/>
      <c r="AA17" s="760" t="s">
        <v>462</v>
      </c>
      <c r="AB17" s="745"/>
      <c r="AC17" s="633"/>
      <c r="AD17" s="633"/>
      <c r="AE17" s="633"/>
      <c r="AF17" s="633"/>
      <c r="AG17" s="633"/>
      <c r="AH17" s="633"/>
      <c r="AI17" s="633"/>
      <c r="AJ17" s="633"/>
      <c r="AK17" s="633"/>
      <c r="AL17" s="633"/>
      <c r="AM17" s="633"/>
      <c r="AN17" s="633"/>
      <c r="AO17" s="633"/>
      <c r="AP17" s="633"/>
      <c r="AQ17" s="633"/>
      <c r="AR17" s="633"/>
      <c r="AS17" s="633"/>
      <c r="AT17" s="633"/>
    </row>
    <row r="18" spans="1:46" ht="116.25" hidden="1" x14ac:dyDescent="0.35">
      <c r="A18" s="759">
        <f>A17+1</f>
        <v>2</v>
      </c>
      <c r="B18" s="754">
        <f>B17+1</f>
        <v>3</v>
      </c>
      <c r="C18" s="712" t="s">
        <v>207</v>
      </c>
      <c r="D18" s="703" t="s">
        <v>405</v>
      </c>
      <c r="E18" s="708"/>
      <c r="F18" s="709"/>
      <c r="G18" s="754"/>
      <c r="H18" s="754"/>
      <c r="I18" s="705">
        <f>'ДОРОЖНЫЙ ПРИЗЫВ'!H11</f>
        <v>132738.723</v>
      </c>
      <c r="J18" s="710" t="s">
        <v>412</v>
      </c>
      <c r="K18" s="754"/>
      <c r="L18" s="711"/>
      <c r="M18" s="752"/>
      <c r="N18" s="713"/>
      <c r="O18" s="752" t="s">
        <v>469</v>
      </c>
      <c r="P18" s="752"/>
      <c r="Q18" s="752"/>
      <c r="R18" s="752"/>
      <c r="S18" s="752"/>
      <c r="T18" s="752"/>
      <c r="U18" s="713"/>
      <c r="V18" s="752"/>
      <c r="W18" s="752"/>
      <c r="X18" s="752"/>
      <c r="Y18" s="747"/>
      <c r="Z18" s="747"/>
      <c r="AA18" s="761"/>
      <c r="AB18" s="633"/>
      <c r="AC18" s="633"/>
      <c r="AD18" s="633"/>
      <c r="AE18" s="633"/>
      <c r="AF18" s="633"/>
      <c r="AG18" s="633"/>
      <c r="AH18" s="633"/>
      <c r="AI18" s="633"/>
      <c r="AJ18" s="633"/>
      <c r="AK18" s="633"/>
      <c r="AL18" s="633"/>
      <c r="AM18" s="633"/>
      <c r="AN18" s="633"/>
      <c r="AO18" s="633"/>
      <c r="AP18" s="633"/>
      <c r="AQ18" s="633"/>
      <c r="AR18" s="633"/>
      <c r="AS18" s="633"/>
      <c r="AT18" s="633"/>
    </row>
    <row r="19" spans="1:46" ht="69.75" hidden="1" x14ac:dyDescent="0.35">
      <c r="A19" s="759"/>
      <c r="B19" s="754"/>
      <c r="C19" s="712" t="s">
        <v>207</v>
      </c>
      <c r="D19" s="703"/>
      <c r="E19" s="708"/>
      <c r="F19" s="709"/>
      <c r="G19" s="754"/>
      <c r="H19" s="754"/>
      <c r="I19" s="705">
        <f>'ДОРОЖНЫЙ ПРИЗЫВ'!H13</f>
        <v>0</v>
      </c>
      <c r="J19" s="710"/>
      <c r="K19" s="754"/>
      <c r="L19" s="711"/>
      <c r="M19" s="752"/>
      <c r="N19" s="713"/>
      <c r="O19" s="752" t="s">
        <v>469</v>
      </c>
      <c r="P19" s="752"/>
      <c r="Q19" s="752"/>
      <c r="R19" s="752"/>
      <c r="S19" s="752"/>
      <c r="T19" s="752"/>
      <c r="U19" s="713"/>
      <c r="V19" s="752"/>
      <c r="W19" s="752"/>
      <c r="X19" s="752"/>
      <c r="Y19" s="747"/>
      <c r="Z19" s="747"/>
      <c r="AA19" s="761"/>
      <c r="AB19" s="644"/>
      <c r="AC19" s="633"/>
      <c r="AD19" s="633"/>
      <c r="AE19" s="633"/>
      <c r="AF19" s="633"/>
      <c r="AG19" s="633"/>
      <c r="AH19" s="633"/>
      <c r="AI19" s="633"/>
      <c r="AJ19" s="633"/>
      <c r="AK19" s="633"/>
      <c r="AL19" s="633"/>
      <c r="AM19" s="633"/>
      <c r="AN19" s="633"/>
      <c r="AO19" s="633"/>
      <c r="AP19" s="633"/>
      <c r="AQ19" s="633"/>
      <c r="AR19" s="633"/>
      <c r="AS19" s="633"/>
      <c r="AT19" s="633"/>
    </row>
    <row r="20" spans="1:46" ht="43.5" hidden="1" customHeight="1" x14ac:dyDescent="0.35">
      <c r="A20" s="759">
        <f>A17+1</f>
        <v>2</v>
      </c>
      <c r="B20" s="754">
        <f>B17+1</f>
        <v>3</v>
      </c>
      <c r="C20" s="712" t="s">
        <v>207</v>
      </c>
      <c r="D20" s="703" t="s">
        <v>413</v>
      </c>
      <c r="E20" s="708"/>
      <c r="F20" s="709"/>
      <c r="G20" s="754"/>
      <c r="H20" s="754"/>
      <c r="I20" s="705">
        <f>'ДОРОЖНЫЙ ПРИЗЫВ'!H14</f>
        <v>118058.2</v>
      </c>
      <c r="J20" s="710"/>
      <c r="K20" s="754"/>
      <c r="L20" s="711"/>
      <c r="M20" s="752"/>
      <c r="N20" s="713"/>
      <c r="O20" s="752" t="s">
        <v>469</v>
      </c>
      <c r="P20" s="752"/>
      <c r="Q20" s="752"/>
      <c r="R20" s="752"/>
      <c r="S20" s="752"/>
      <c r="T20" s="752"/>
      <c r="U20" s="713"/>
      <c r="V20" s="752"/>
      <c r="W20" s="752"/>
      <c r="X20" s="752"/>
      <c r="Y20" s="747"/>
      <c r="Z20" s="747"/>
      <c r="AA20" s="761"/>
      <c r="AB20" s="633"/>
      <c r="AC20" s="633"/>
      <c r="AD20" s="633"/>
      <c r="AE20" s="633"/>
      <c r="AF20" s="633"/>
      <c r="AG20" s="633"/>
      <c r="AH20" s="633"/>
      <c r="AI20" s="633"/>
      <c r="AJ20" s="633"/>
      <c r="AK20" s="633"/>
      <c r="AL20" s="633"/>
      <c r="AM20" s="633"/>
      <c r="AN20" s="633"/>
      <c r="AO20" s="633"/>
      <c r="AP20" s="633"/>
      <c r="AQ20" s="633"/>
      <c r="AR20" s="633"/>
      <c r="AS20" s="633"/>
      <c r="AT20" s="633"/>
    </row>
    <row r="21" spans="1:46" s="647" customFormat="1" ht="75.75" hidden="1" customHeight="1" x14ac:dyDescent="0.35">
      <c r="A21" s="759">
        <v>3</v>
      </c>
      <c r="B21" s="754">
        <v>1</v>
      </c>
      <c r="C21" s="712" t="s">
        <v>207</v>
      </c>
      <c r="D21" s="703" t="s">
        <v>405</v>
      </c>
      <c r="E21" s="708">
        <v>1.7</v>
      </c>
      <c r="F21" s="709"/>
      <c r="G21" s="754"/>
      <c r="H21" s="715"/>
      <c r="I21" s="705">
        <f>'ДОРОЖНЫЙ ПРИЗЫВ'!H15</f>
        <v>0</v>
      </c>
      <c r="J21" s="716" t="s">
        <v>459</v>
      </c>
      <c r="K21" s="717">
        <v>1</v>
      </c>
      <c r="L21" s="718"/>
      <c r="M21" s="746"/>
      <c r="N21" s="746"/>
      <c r="O21" s="752" t="s">
        <v>469</v>
      </c>
      <c r="P21" s="752"/>
      <c r="Q21" s="752"/>
      <c r="R21" s="713"/>
      <c r="S21" s="713"/>
      <c r="T21" s="753"/>
      <c r="U21" s="753"/>
      <c r="V21" s="752"/>
      <c r="W21" s="746"/>
      <c r="X21" s="746"/>
      <c r="Y21" s="748"/>
      <c r="Z21" s="753"/>
      <c r="AA21" s="762"/>
      <c r="AB21" s="645"/>
      <c r="AC21" s="645"/>
      <c r="AD21" s="645"/>
      <c r="AE21" s="645"/>
      <c r="AF21" s="645"/>
      <c r="AG21" s="645"/>
      <c r="AH21" s="645"/>
      <c r="AI21" s="645"/>
      <c r="AJ21" s="645"/>
      <c r="AK21" s="645"/>
      <c r="AL21" s="645"/>
      <c r="AM21" s="645"/>
      <c r="AN21" s="645"/>
      <c r="AO21" s="645"/>
      <c r="AP21" s="645"/>
      <c r="AQ21" s="645"/>
      <c r="AR21" s="646"/>
      <c r="AS21" s="646"/>
      <c r="AT21" s="646"/>
    </row>
    <row r="22" spans="1:46" s="647" customFormat="1" ht="69.75" hidden="1" customHeight="1" x14ac:dyDescent="0.35">
      <c r="A22" s="759" t="e">
        <f>#REF!+1</f>
        <v>#REF!</v>
      </c>
      <c r="B22" s="754" t="e">
        <f>#REF!+1</f>
        <v>#REF!</v>
      </c>
      <c r="C22" s="712" t="s">
        <v>207</v>
      </c>
      <c r="D22" s="703" t="s">
        <v>414</v>
      </c>
      <c r="E22" s="720"/>
      <c r="F22" s="721"/>
      <c r="G22" s="754"/>
      <c r="H22" s="754"/>
      <c r="I22" s="756">
        <f>'ДОРОЖНЫЙ ПРИЗЫВ'!H16</f>
        <v>199197.5</v>
      </c>
      <c r="J22" s="722" t="s">
        <v>415</v>
      </c>
      <c r="K22" s="717"/>
      <c r="L22" s="718"/>
      <c r="M22" s="746"/>
      <c r="N22" s="752"/>
      <c r="O22" s="752" t="s">
        <v>469</v>
      </c>
      <c r="P22" s="752"/>
      <c r="Q22" s="752"/>
      <c r="R22" s="752"/>
      <c r="S22" s="746"/>
      <c r="T22" s="746"/>
      <c r="U22" s="752"/>
      <c r="V22" s="746"/>
      <c r="W22" s="746"/>
      <c r="X22" s="746"/>
      <c r="Y22" s="748"/>
      <c r="Z22" s="748"/>
      <c r="AA22" s="763"/>
      <c r="AB22" s="645"/>
      <c r="AC22" s="645"/>
      <c r="AD22" s="645"/>
      <c r="AE22" s="645"/>
      <c r="AF22" s="645"/>
      <c r="AG22" s="645"/>
      <c r="AH22" s="645"/>
      <c r="AI22" s="645"/>
      <c r="AJ22" s="645"/>
      <c r="AK22" s="645"/>
      <c r="AL22" s="645"/>
      <c r="AM22" s="645"/>
      <c r="AN22" s="645"/>
      <c r="AO22" s="645"/>
      <c r="AP22" s="645"/>
      <c r="AQ22" s="645"/>
      <c r="AR22" s="646"/>
      <c r="AS22" s="646"/>
      <c r="AT22" s="646"/>
    </row>
    <row r="23" spans="1:46" s="647" customFormat="1" ht="69.75" hidden="1" customHeight="1" x14ac:dyDescent="0.35">
      <c r="A23" s="759" t="e">
        <f t="shared" ref="A23:B27" si="0">A22+1</f>
        <v>#REF!</v>
      </c>
      <c r="B23" s="754" t="e">
        <f>B22+1</f>
        <v>#REF!</v>
      </c>
      <c r="C23" s="712" t="s">
        <v>207</v>
      </c>
      <c r="D23" s="703" t="s">
        <v>414</v>
      </c>
      <c r="E23" s="720"/>
      <c r="F23" s="721"/>
      <c r="G23" s="754"/>
      <c r="H23" s="754"/>
      <c r="I23" s="756">
        <f>'ДОРОЖНЫЙ ПРИЗЫВ'!H17</f>
        <v>0</v>
      </c>
      <c r="J23" s="722" t="s">
        <v>415</v>
      </c>
      <c r="K23" s="717"/>
      <c r="L23" s="718"/>
      <c r="M23" s="746"/>
      <c r="N23" s="752"/>
      <c r="O23" s="752" t="s">
        <v>469</v>
      </c>
      <c r="P23" s="752"/>
      <c r="Q23" s="752"/>
      <c r="R23" s="752"/>
      <c r="S23" s="746"/>
      <c r="T23" s="746"/>
      <c r="U23" s="752"/>
      <c r="V23" s="746"/>
      <c r="W23" s="746"/>
      <c r="X23" s="746"/>
      <c r="Y23" s="748"/>
      <c r="Z23" s="748"/>
      <c r="AA23" s="763"/>
      <c r="AB23" s="645"/>
      <c r="AC23" s="645"/>
      <c r="AD23" s="645"/>
      <c r="AE23" s="645"/>
      <c r="AF23" s="645"/>
      <c r="AG23" s="645"/>
      <c r="AH23" s="645"/>
      <c r="AI23" s="645"/>
      <c r="AJ23" s="645"/>
      <c r="AK23" s="645"/>
      <c r="AL23" s="645"/>
      <c r="AM23" s="645"/>
      <c r="AN23" s="645"/>
      <c r="AO23" s="645"/>
      <c r="AP23" s="645"/>
      <c r="AQ23" s="645"/>
      <c r="AR23" s="646"/>
      <c r="AS23" s="646"/>
      <c r="AT23" s="646"/>
    </row>
    <row r="24" spans="1:46" s="647" customFormat="1" ht="69.75" hidden="1" customHeight="1" x14ac:dyDescent="0.35">
      <c r="A24" s="759" t="e">
        <f>#REF!+1</f>
        <v>#REF!</v>
      </c>
      <c r="B24" s="754" t="e">
        <f>#REF!+1</f>
        <v>#REF!</v>
      </c>
      <c r="C24" s="712" t="s">
        <v>207</v>
      </c>
      <c r="D24" s="703" t="s">
        <v>414</v>
      </c>
      <c r="E24" s="720"/>
      <c r="F24" s="721"/>
      <c r="G24" s="754"/>
      <c r="H24" s="754"/>
      <c r="I24" s="756">
        <f>'ДОРОЖНЫЙ ПРИЗЫВ'!H18</f>
        <v>41260</v>
      </c>
      <c r="J24" s="722" t="s">
        <v>415</v>
      </c>
      <c r="K24" s="717"/>
      <c r="L24" s="718"/>
      <c r="M24" s="746"/>
      <c r="N24" s="752"/>
      <c r="O24" s="752" t="s">
        <v>469</v>
      </c>
      <c r="P24" s="752"/>
      <c r="Q24" s="752"/>
      <c r="R24" s="752"/>
      <c r="S24" s="746"/>
      <c r="T24" s="746"/>
      <c r="U24" s="752"/>
      <c r="V24" s="746"/>
      <c r="W24" s="746"/>
      <c r="X24" s="746"/>
      <c r="Y24" s="748"/>
      <c r="Z24" s="748"/>
      <c r="AA24" s="763"/>
      <c r="AB24" s="645"/>
      <c r="AC24" s="645"/>
      <c r="AD24" s="645"/>
      <c r="AE24" s="645"/>
      <c r="AF24" s="645"/>
      <c r="AG24" s="645"/>
      <c r="AH24" s="645"/>
      <c r="AI24" s="645"/>
      <c r="AJ24" s="645"/>
      <c r="AK24" s="645"/>
      <c r="AL24" s="645"/>
      <c r="AM24" s="645"/>
      <c r="AN24" s="645"/>
      <c r="AO24" s="645"/>
      <c r="AP24" s="645"/>
      <c r="AQ24" s="645"/>
      <c r="AR24" s="646"/>
      <c r="AS24" s="646"/>
      <c r="AT24" s="646"/>
    </row>
    <row r="25" spans="1:46" s="647" customFormat="1" ht="69.75" hidden="1" customHeight="1" x14ac:dyDescent="0.35">
      <c r="A25" s="759" t="e">
        <f t="shared" si="0"/>
        <v>#REF!</v>
      </c>
      <c r="B25" s="754" t="e">
        <f t="shared" si="0"/>
        <v>#REF!</v>
      </c>
      <c r="C25" s="712" t="s">
        <v>207</v>
      </c>
      <c r="D25" s="703" t="s">
        <v>414</v>
      </c>
      <c r="E25" s="720"/>
      <c r="F25" s="709"/>
      <c r="G25" s="754"/>
      <c r="H25" s="754"/>
      <c r="I25" s="756">
        <f>'ДОРОЖНЫЙ ПРИЗЫВ'!H19</f>
        <v>130126.39999999999</v>
      </c>
      <c r="J25" s="710" t="s">
        <v>415</v>
      </c>
      <c r="K25" s="717"/>
      <c r="L25" s="718"/>
      <c r="M25" s="746"/>
      <c r="N25" s="713"/>
      <c r="O25" s="752" t="s">
        <v>469</v>
      </c>
      <c r="P25" s="752"/>
      <c r="Q25" s="752"/>
      <c r="R25" s="713"/>
      <c r="S25" s="746"/>
      <c r="T25" s="746"/>
      <c r="U25" s="713"/>
      <c r="V25" s="746"/>
      <c r="W25" s="746"/>
      <c r="X25" s="746"/>
      <c r="Y25" s="748"/>
      <c r="Z25" s="748"/>
      <c r="AA25" s="763"/>
      <c r="AB25" s="645"/>
      <c r="AC25" s="645"/>
      <c r="AD25" s="645"/>
      <c r="AE25" s="645"/>
      <c r="AF25" s="645"/>
      <c r="AG25" s="645"/>
      <c r="AH25" s="645"/>
      <c r="AI25" s="645"/>
      <c r="AJ25" s="645"/>
      <c r="AK25" s="645"/>
      <c r="AL25" s="645"/>
      <c r="AM25" s="645"/>
      <c r="AN25" s="645"/>
      <c r="AO25" s="645"/>
      <c r="AP25" s="645"/>
      <c r="AQ25" s="645"/>
      <c r="AR25" s="646"/>
      <c r="AS25" s="646"/>
      <c r="AT25" s="646"/>
    </row>
    <row r="26" spans="1:46" s="633" customFormat="1" ht="69.75" hidden="1" customHeight="1" x14ac:dyDescent="0.35">
      <c r="A26" s="759" t="e">
        <f>#REF!+1</f>
        <v>#REF!</v>
      </c>
      <c r="B26" s="754" t="e">
        <f>#REF!+1</f>
        <v>#REF!</v>
      </c>
      <c r="C26" s="712" t="s">
        <v>207</v>
      </c>
      <c r="D26" s="703" t="s">
        <v>414</v>
      </c>
      <c r="E26" s="720"/>
      <c r="F26" s="721"/>
      <c r="G26" s="754"/>
      <c r="H26" s="754"/>
      <c r="I26" s="756">
        <f>'ДОРОЖНЫЙ ПРИЗЫВ'!H20</f>
        <v>78000</v>
      </c>
      <c r="J26" s="722" t="s">
        <v>415</v>
      </c>
      <c r="K26" s="754"/>
      <c r="L26" s="711"/>
      <c r="M26" s="752"/>
      <c r="N26" s="752"/>
      <c r="O26" s="752" t="s">
        <v>469</v>
      </c>
      <c r="P26" s="752"/>
      <c r="Q26" s="752"/>
      <c r="R26" s="752"/>
      <c r="S26" s="752"/>
      <c r="T26" s="752"/>
      <c r="U26" s="752"/>
      <c r="V26" s="752"/>
      <c r="W26" s="752"/>
      <c r="X26" s="752"/>
      <c r="Y26" s="747"/>
      <c r="Z26" s="747"/>
      <c r="AA26" s="763"/>
    </row>
    <row r="27" spans="1:46" s="633" customFormat="1" ht="98.25" hidden="1" customHeight="1" x14ac:dyDescent="0.35">
      <c r="A27" s="759" t="e">
        <f t="shared" si="0"/>
        <v>#REF!</v>
      </c>
      <c r="B27" s="754" t="e">
        <f t="shared" si="0"/>
        <v>#REF!</v>
      </c>
      <c r="C27" s="712" t="s">
        <v>207</v>
      </c>
      <c r="D27" s="703" t="s">
        <v>414</v>
      </c>
      <c r="E27" s="708"/>
      <c r="F27" s="709">
        <v>6</v>
      </c>
      <c r="G27" s="754"/>
      <c r="H27" s="754"/>
      <c r="I27" s="705">
        <f>'ДОРОЖНЫЙ ПРИЗЫВ'!H21</f>
        <v>0</v>
      </c>
      <c r="J27" s="710" t="s">
        <v>415</v>
      </c>
      <c r="K27" s="754"/>
      <c r="L27" s="711"/>
      <c r="M27" s="752"/>
      <c r="N27" s="713"/>
      <c r="O27" s="752" t="s">
        <v>469</v>
      </c>
      <c r="P27" s="752"/>
      <c r="Q27" s="752"/>
      <c r="R27" s="713"/>
      <c r="S27" s="752"/>
      <c r="T27" s="752"/>
      <c r="U27" s="713"/>
      <c r="V27" s="752"/>
      <c r="W27" s="752"/>
      <c r="X27" s="752"/>
      <c r="Y27" s="747"/>
      <c r="Z27" s="747"/>
      <c r="AA27" s="763"/>
    </row>
    <row r="28" spans="1:46" s="633" customFormat="1" ht="116.25" hidden="1" customHeight="1" x14ac:dyDescent="0.35">
      <c r="A28" s="759" t="e">
        <f>A26+1</f>
        <v>#REF!</v>
      </c>
      <c r="B28" s="754" t="e">
        <f>B26+1</f>
        <v>#REF!</v>
      </c>
      <c r="C28" s="712" t="s">
        <v>207</v>
      </c>
      <c r="D28" s="703" t="s">
        <v>414</v>
      </c>
      <c r="E28" s="720"/>
      <c r="F28" s="721"/>
      <c r="G28" s="754"/>
      <c r="H28" s="754"/>
      <c r="I28" s="756">
        <f>'ДОРОЖНЫЙ ПРИЗЫВ'!H22</f>
        <v>4000</v>
      </c>
      <c r="J28" s="722" t="s">
        <v>416</v>
      </c>
      <c r="K28" s="754"/>
      <c r="L28" s="711"/>
      <c r="M28" s="752"/>
      <c r="N28" s="752"/>
      <c r="O28" s="752" t="s">
        <v>469</v>
      </c>
      <c r="P28" s="752"/>
      <c r="Q28" s="752"/>
      <c r="R28" s="752"/>
      <c r="S28" s="752"/>
      <c r="T28" s="752"/>
      <c r="U28" s="752"/>
      <c r="V28" s="752"/>
      <c r="W28" s="752"/>
      <c r="X28" s="752"/>
      <c r="Y28" s="747"/>
      <c r="Z28" s="747"/>
      <c r="AA28" s="763"/>
    </row>
    <row r="29" spans="1:46" s="633" customFormat="1" ht="116.25" hidden="1" customHeight="1" x14ac:dyDescent="0.35">
      <c r="A29" s="759" t="e">
        <f>A28+1</f>
        <v>#REF!</v>
      </c>
      <c r="B29" s="754" t="e">
        <f>B28+1</f>
        <v>#REF!</v>
      </c>
      <c r="C29" s="712" t="s">
        <v>207</v>
      </c>
      <c r="D29" s="703" t="s">
        <v>414</v>
      </c>
      <c r="E29" s="708"/>
      <c r="F29" s="709"/>
      <c r="G29" s="754"/>
      <c r="H29" s="754"/>
      <c r="I29" s="756">
        <f>'ДОРОЖНЫЙ ПРИЗЫВ'!H23</f>
        <v>0</v>
      </c>
      <c r="J29" s="710" t="s">
        <v>417</v>
      </c>
      <c r="K29" s="754"/>
      <c r="L29" s="711"/>
      <c r="M29" s="752"/>
      <c r="N29" s="713"/>
      <c r="O29" s="752" t="s">
        <v>469</v>
      </c>
      <c r="P29" s="752"/>
      <c r="Q29" s="752"/>
      <c r="R29" s="713"/>
      <c r="S29" s="752"/>
      <c r="T29" s="752"/>
      <c r="U29" s="713"/>
      <c r="V29" s="752"/>
      <c r="W29" s="752"/>
      <c r="X29" s="752"/>
      <c r="Y29" s="747"/>
      <c r="Z29" s="747"/>
      <c r="AA29" s="763"/>
    </row>
    <row r="30" spans="1:46" s="633" customFormat="1" ht="116.25" hidden="1" customHeight="1" x14ac:dyDescent="0.35">
      <c r="A30" s="759" t="e">
        <f>A29+1</f>
        <v>#REF!</v>
      </c>
      <c r="B30" s="754">
        <v>12</v>
      </c>
      <c r="C30" s="712" t="s">
        <v>207</v>
      </c>
      <c r="D30" s="703" t="s">
        <v>414</v>
      </c>
      <c r="E30" s="708"/>
      <c r="F30" s="709"/>
      <c r="G30" s="754"/>
      <c r="H30" s="754"/>
      <c r="I30" s="756">
        <f>'ДОРОЖНЫЙ ПРИЗЫВ'!H24</f>
        <v>8000</v>
      </c>
      <c r="J30" s="710" t="s">
        <v>418</v>
      </c>
      <c r="K30" s="754"/>
      <c r="L30" s="711"/>
      <c r="M30" s="752"/>
      <c r="N30" s="713"/>
      <c r="O30" s="752" t="s">
        <v>469</v>
      </c>
      <c r="P30" s="752"/>
      <c r="Q30" s="752"/>
      <c r="R30" s="713"/>
      <c r="S30" s="752"/>
      <c r="T30" s="752"/>
      <c r="U30" s="713"/>
      <c r="V30" s="752"/>
      <c r="W30" s="752"/>
      <c r="X30" s="752"/>
      <c r="Y30" s="747"/>
      <c r="Z30" s="747"/>
      <c r="AA30" s="763"/>
    </row>
    <row r="31" spans="1:46" s="633" customFormat="1" ht="116.25" hidden="1" customHeight="1" x14ac:dyDescent="0.35">
      <c r="A31" s="759" t="e">
        <f>A30+1</f>
        <v>#REF!</v>
      </c>
      <c r="B31" s="754">
        <f>B30+1</f>
        <v>13</v>
      </c>
      <c r="C31" s="712" t="s">
        <v>207</v>
      </c>
      <c r="D31" s="703" t="s">
        <v>414</v>
      </c>
      <c r="E31" s="708"/>
      <c r="F31" s="709"/>
      <c r="G31" s="754"/>
      <c r="H31" s="754"/>
      <c r="I31" s="756">
        <f>'ДОРОЖНЫЙ ПРИЗЫВ'!H25</f>
        <v>8000</v>
      </c>
      <c r="J31" s="710" t="s">
        <v>419</v>
      </c>
      <c r="K31" s="754"/>
      <c r="L31" s="711"/>
      <c r="M31" s="752"/>
      <c r="N31" s="713"/>
      <c r="O31" s="752" t="s">
        <v>469</v>
      </c>
      <c r="P31" s="752"/>
      <c r="Q31" s="752"/>
      <c r="R31" s="713"/>
      <c r="S31" s="752"/>
      <c r="T31" s="752"/>
      <c r="U31" s="713"/>
      <c r="V31" s="752"/>
      <c r="W31" s="752"/>
      <c r="X31" s="752"/>
      <c r="Y31" s="747"/>
      <c r="Z31" s="747"/>
      <c r="AA31" s="763"/>
    </row>
    <row r="32" spans="1:46" s="633" customFormat="1" ht="93" hidden="1" customHeight="1" x14ac:dyDescent="0.35">
      <c r="A32" s="759" t="e">
        <f>A31+1</f>
        <v>#REF!</v>
      </c>
      <c r="B32" s="754">
        <f>B31+1</f>
        <v>14</v>
      </c>
      <c r="C32" s="712" t="s">
        <v>207</v>
      </c>
      <c r="D32" s="703" t="s">
        <v>414</v>
      </c>
      <c r="E32" s="708"/>
      <c r="F32" s="709"/>
      <c r="G32" s="754"/>
      <c r="H32" s="754"/>
      <c r="I32" s="756">
        <f>'ДОРОЖНЫЙ ПРИЗЫВ'!H26</f>
        <v>12000</v>
      </c>
      <c r="J32" s="710" t="s">
        <v>420</v>
      </c>
      <c r="K32" s="754"/>
      <c r="L32" s="711"/>
      <c r="M32" s="752"/>
      <c r="N32" s="713"/>
      <c r="O32" s="752" t="s">
        <v>469</v>
      </c>
      <c r="P32" s="752"/>
      <c r="Q32" s="752"/>
      <c r="R32" s="713"/>
      <c r="S32" s="752"/>
      <c r="T32" s="752"/>
      <c r="U32" s="713"/>
      <c r="V32" s="752"/>
      <c r="W32" s="752"/>
      <c r="X32" s="752"/>
      <c r="Y32" s="747"/>
      <c r="Z32" s="747"/>
      <c r="AA32" s="763"/>
    </row>
    <row r="33" spans="1:46" s="633" customFormat="1" ht="116.25" hidden="1" customHeight="1" x14ac:dyDescent="0.35">
      <c r="A33" s="759" t="e">
        <f>A31+1</f>
        <v>#REF!</v>
      </c>
      <c r="B33" s="754">
        <f>B31+1</f>
        <v>14</v>
      </c>
      <c r="C33" s="712" t="s">
        <v>207</v>
      </c>
      <c r="D33" s="703" t="s">
        <v>414</v>
      </c>
      <c r="E33" s="708"/>
      <c r="F33" s="709"/>
      <c r="G33" s="754"/>
      <c r="H33" s="754"/>
      <c r="I33" s="705">
        <f>'ДОРОЖНЫЙ ПРИЗЫВ'!H27</f>
        <v>0</v>
      </c>
      <c r="J33" s="710" t="s">
        <v>421</v>
      </c>
      <c r="K33" s="754"/>
      <c r="L33" s="711"/>
      <c r="M33" s="752"/>
      <c r="N33" s="713"/>
      <c r="O33" s="752" t="s">
        <v>469</v>
      </c>
      <c r="P33" s="752"/>
      <c r="Q33" s="752"/>
      <c r="R33" s="713"/>
      <c r="S33" s="752"/>
      <c r="T33" s="752"/>
      <c r="U33" s="713"/>
      <c r="V33" s="752"/>
      <c r="W33" s="752"/>
      <c r="X33" s="752"/>
      <c r="Y33" s="747"/>
      <c r="Z33" s="747"/>
      <c r="AA33" s="763"/>
    </row>
    <row r="34" spans="1:46" s="633" customFormat="1" ht="69.75" hidden="1" customHeight="1" x14ac:dyDescent="0.35">
      <c r="A34" s="759">
        <v>9</v>
      </c>
      <c r="B34" s="754">
        <f>B33+1</f>
        <v>15</v>
      </c>
      <c r="C34" s="712" t="s">
        <v>207</v>
      </c>
      <c r="D34" s="703" t="s">
        <v>414</v>
      </c>
      <c r="E34" s="708"/>
      <c r="F34" s="709">
        <v>21.4</v>
      </c>
      <c r="G34" s="754"/>
      <c r="H34" s="754"/>
      <c r="I34" s="705">
        <f>'ДОРОЖНЫЙ ПРИЗЫВ'!H28</f>
        <v>0</v>
      </c>
      <c r="J34" s="726" t="s">
        <v>415</v>
      </c>
      <c r="K34" s="754"/>
      <c r="L34" s="711"/>
      <c r="M34" s="752"/>
      <c r="N34" s="713"/>
      <c r="O34" s="752" t="s">
        <v>469</v>
      </c>
      <c r="P34" s="752"/>
      <c r="Q34" s="752"/>
      <c r="R34" s="713"/>
      <c r="S34" s="752"/>
      <c r="T34" s="752"/>
      <c r="U34" s="749"/>
      <c r="V34" s="752"/>
      <c r="W34" s="752"/>
      <c r="X34" s="752"/>
      <c r="Y34" s="747"/>
      <c r="Z34" s="747"/>
      <c r="AA34" s="763"/>
    </row>
    <row r="35" spans="1:46" s="633" customFormat="1" ht="69.75" hidden="1" customHeight="1" x14ac:dyDescent="0.35">
      <c r="A35" s="759">
        <f>A34+1</f>
        <v>10</v>
      </c>
      <c r="B35" s="754">
        <f>B34+1</f>
        <v>16</v>
      </c>
      <c r="C35" s="712" t="s">
        <v>207</v>
      </c>
      <c r="D35" s="703" t="s">
        <v>414</v>
      </c>
      <c r="E35" s="708"/>
      <c r="F35" s="709">
        <v>12.2</v>
      </c>
      <c r="G35" s="754"/>
      <c r="H35" s="754"/>
      <c r="I35" s="705">
        <f>'ДОРОЖНЫЙ ПРИЗЫВ'!H29</f>
        <v>954880.82299999997</v>
      </c>
      <c r="J35" s="726" t="s">
        <v>415</v>
      </c>
      <c r="K35" s="754"/>
      <c r="L35" s="711"/>
      <c r="M35" s="752"/>
      <c r="N35" s="713"/>
      <c r="O35" s="752" t="s">
        <v>469</v>
      </c>
      <c r="P35" s="752"/>
      <c r="Q35" s="752"/>
      <c r="R35" s="713"/>
      <c r="S35" s="752"/>
      <c r="T35" s="752"/>
      <c r="U35" s="749"/>
      <c r="V35" s="752"/>
      <c r="W35" s="752"/>
      <c r="X35" s="752"/>
      <c r="Y35" s="747"/>
      <c r="Z35" s="747"/>
      <c r="AA35" s="763"/>
    </row>
    <row r="36" spans="1:46" s="647" customFormat="1" ht="93" hidden="1" customHeight="1" x14ac:dyDescent="0.35">
      <c r="A36" s="764">
        <v>15</v>
      </c>
      <c r="B36" s="755">
        <v>15</v>
      </c>
      <c r="C36" s="712" t="s">
        <v>207</v>
      </c>
      <c r="D36" s="703" t="s">
        <v>413</v>
      </c>
      <c r="E36" s="720"/>
      <c r="F36" s="754"/>
      <c r="G36" s="754"/>
      <c r="H36" s="754"/>
      <c r="I36" s="705">
        <f>'ДОРОЖНЫЙ ПРИЗЫВ'!H30</f>
        <v>0</v>
      </c>
      <c r="J36" s="710" t="s">
        <v>415</v>
      </c>
      <c r="K36" s="717"/>
      <c r="L36" s="718"/>
      <c r="M36" s="746"/>
      <c r="N36" s="713"/>
      <c r="O36" s="752" t="s">
        <v>469</v>
      </c>
      <c r="P36" s="752"/>
      <c r="Q36" s="752"/>
      <c r="R36" s="713"/>
      <c r="S36" s="746"/>
      <c r="T36" s="746"/>
      <c r="U36" s="713"/>
      <c r="V36" s="746"/>
      <c r="W36" s="746"/>
      <c r="X36" s="746"/>
      <c r="Y36" s="748"/>
      <c r="Z36" s="748"/>
      <c r="AA36" s="763"/>
      <c r="AB36" s="645"/>
      <c r="AC36" s="645"/>
      <c r="AD36" s="645"/>
      <c r="AE36" s="645"/>
      <c r="AF36" s="645"/>
      <c r="AG36" s="645"/>
      <c r="AH36" s="645"/>
      <c r="AI36" s="645"/>
      <c r="AJ36" s="645"/>
      <c r="AK36" s="645"/>
      <c r="AL36" s="645"/>
      <c r="AM36" s="645"/>
      <c r="AN36" s="645"/>
      <c r="AO36" s="645"/>
      <c r="AP36" s="645"/>
      <c r="AQ36" s="645"/>
      <c r="AR36" s="646"/>
      <c r="AS36" s="646"/>
      <c r="AT36" s="646"/>
    </row>
    <row r="37" spans="1:46" s="647" customFormat="1" ht="93" hidden="1" customHeight="1" x14ac:dyDescent="0.35">
      <c r="A37" s="764">
        <v>16</v>
      </c>
      <c r="B37" s="755">
        <v>16</v>
      </c>
      <c r="C37" s="712" t="s">
        <v>207</v>
      </c>
      <c r="D37" s="703" t="s">
        <v>413</v>
      </c>
      <c r="E37" s="720"/>
      <c r="F37" s="754"/>
      <c r="G37" s="754"/>
      <c r="H37" s="754"/>
      <c r="I37" s="705">
        <f>'ДОРОЖНЫЙ ПРИЗЫВ'!H31</f>
        <v>0</v>
      </c>
      <c r="J37" s="710" t="s">
        <v>415</v>
      </c>
      <c r="K37" s="717"/>
      <c r="L37" s="718"/>
      <c r="M37" s="746"/>
      <c r="N37" s="713"/>
      <c r="O37" s="752" t="s">
        <v>469</v>
      </c>
      <c r="P37" s="752"/>
      <c r="Q37" s="752"/>
      <c r="R37" s="713"/>
      <c r="S37" s="746"/>
      <c r="T37" s="746"/>
      <c r="U37" s="713"/>
      <c r="V37" s="746"/>
      <c r="W37" s="746"/>
      <c r="X37" s="746"/>
      <c r="Y37" s="748"/>
      <c r="Z37" s="748"/>
      <c r="AA37" s="763"/>
      <c r="AB37" s="645"/>
      <c r="AC37" s="645"/>
      <c r="AD37" s="645"/>
      <c r="AE37" s="645"/>
      <c r="AF37" s="645"/>
      <c r="AG37" s="645"/>
      <c r="AH37" s="645"/>
      <c r="AI37" s="645"/>
      <c r="AJ37" s="645"/>
      <c r="AK37" s="645"/>
      <c r="AL37" s="645"/>
      <c r="AM37" s="645"/>
      <c r="AN37" s="645"/>
      <c r="AO37" s="645"/>
      <c r="AP37" s="645"/>
      <c r="AQ37" s="645"/>
      <c r="AR37" s="646"/>
      <c r="AS37" s="646"/>
      <c r="AT37" s="646"/>
    </row>
    <row r="38" spans="1:46" s="647" customFormat="1" ht="93" hidden="1" customHeight="1" x14ac:dyDescent="0.35">
      <c r="A38" s="764">
        <v>17</v>
      </c>
      <c r="B38" s="755">
        <v>17</v>
      </c>
      <c r="C38" s="712" t="s">
        <v>207</v>
      </c>
      <c r="D38" s="703" t="s">
        <v>413</v>
      </c>
      <c r="E38" s="720"/>
      <c r="F38" s="754"/>
      <c r="G38" s="754"/>
      <c r="H38" s="754"/>
      <c r="I38" s="705" t="str">
        <f>'ДОРОЖНЫЙ ПРИЗЫВ'!H32</f>
        <v>Ю.П. Залевский</v>
      </c>
      <c r="J38" s="710" t="s">
        <v>415</v>
      </c>
      <c r="K38" s="717"/>
      <c r="L38" s="718"/>
      <c r="M38" s="746"/>
      <c r="N38" s="713"/>
      <c r="O38" s="752" t="s">
        <v>469</v>
      </c>
      <c r="P38" s="752"/>
      <c r="Q38" s="752"/>
      <c r="R38" s="713"/>
      <c r="S38" s="746"/>
      <c r="T38" s="746"/>
      <c r="U38" s="713"/>
      <c r="V38" s="746"/>
      <c r="W38" s="746"/>
      <c r="X38" s="746"/>
      <c r="Y38" s="748"/>
      <c r="Z38" s="748"/>
      <c r="AA38" s="763"/>
      <c r="AB38" s="645"/>
      <c r="AC38" s="645"/>
      <c r="AD38" s="645"/>
      <c r="AE38" s="645"/>
      <c r="AF38" s="645"/>
      <c r="AG38" s="645"/>
      <c r="AH38" s="645"/>
      <c r="AI38" s="645"/>
      <c r="AJ38" s="645"/>
      <c r="AK38" s="645"/>
      <c r="AL38" s="645"/>
      <c r="AM38" s="645"/>
      <c r="AN38" s="645"/>
      <c r="AO38" s="645"/>
      <c r="AP38" s="645"/>
      <c r="AQ38" s="645"/>
      <c r="AR38" s="646"/>
      <c r="AS38" s="646"/>
      <c r="AT38" s="646"/>
    </row>
    <row r="39" spans="1:46" s="647" customFormat="1" ht="93" hidden="1" customHeight="1" x14ac:dyDescent="0.35">
      <c r="A39" s="764">
        <v>18</v>
      </c>
      <c r="B39" s="755">
        <v>18</v>
      </c>
      <c r="C39" s="712" t="s">
        <v>207</v>
      </c>
      <c r="D39" s="703" t="s">
        <v>413</v>
      </c>
      <c r="E39" s="720"/>
      <c r="F39" s="754"/>
      <c r="G39" s="754"/>
      <c r="H39" s="754"/>
      <c r="I39" s="705">
        <f>'ДОРОЖНЫЙ ПРИЗЫВ'!H33</f>
        <v>0</v>
      </c>
      <c r="J39" s="710" t="s">
        <v>415</v>
      </c>
      <c r="K39" s="717"/>
      <c r="L39" s="718"/>
      <c r="M39" s="746"/>
      <c r="N39" s="713"/>
      <c r="O39" s="752" t="s">
        <v>469</v>
      </c>
      <c r="P39" s="752"/>
      <c r="Q39" s="752"/>
      <c r="R39" s="713"/>
      <c r="S39" s="746"/>
      <c r="T39" s="746"/>
      <c r="U39" s="713"/>
      <c r="V39" s="746"/>
      <c r="W39" s="746"/>
      <c r="X39" s="746"/>
      <c r="Y39" s="748"/>
      <c r="Z39" s="748"/>
      <c r="AA39" s="763"/>
      <c r="AB39" s="645"/>
      <c r="AC39" s="645"/>
      <c r="AD39" s="645"/>
      <c r="AE39" s="645"/>
      <c r="AF39" s="645"/>
      <c r="AG39" s="645"/>
      <c r="AH39" s="645"/>
      <c r="AI39" s="645"/>
      <c r="AJ39" s="645"/>
      <c r="AK39" s="645"/>
      <c r="AL39" s="645"/>
      <c r="AM39" s="645"/>
      <c r="AN39" s="645"/>
      <c r="AO39" s="645"/>
      <c r="AP39" s="645"/>
      <c r="AQ39" s="645"/>
      <c r="AR39" s="646"/>
      <c r="AS39" s="646"/>
      <c r="AT39" s="646"/>
    </row>
    <row r="40" spans="1:46" s="647" customFormat="1" ht="93" hidden="1" customHeight="1" x14ac:dyDescent="0.35">
      <c r="A40" s="764">
        <v>19</v>
      </c>
      <c r="B40" s="755">
        <v>19</v>
      </c>
      <c r="C40" s="712" t="s">
        <v>207</v>
      </c>
      <c r="D40" s="703" t="s">
        <v>413</v>
      </c>
      <c r="E40" s="720"/>
      <c r="F40" s="754"/>
      <c r="G40" s="754"/>
      <c r="H40" s="754"/>
      <c r="I40" s="705">
        <f>'ДОРОЖНЫЙ ПРИЗЫВ'!H34</f>
        <v>0</v>
      </c>
      <c r="J40" s="710" t="s">
        <v>415</v>
      </c>
      <c r="K40" s="717"/>
      <c r="L40" s="718"/>
      <c r="M40" s="746"/>
      <c r="N40" s="713"/>
      <c r="O40" s="752" t="s">
        <v>469</v>
      </c>
      <c r="P40" s="752"/>
      <c r="Q40" s="752"/>
      <c r="R40" s="713"/>
      <c r="S40" s="746"/>
      <c r="T40" s="746"/>
      <c r="U40" s="713"/>
      <c r="V40" s="746"/>
      <c r="W40" s="746"/>
      <c r="X40" s="746"/>
      <c r="Y40" s="748"/>
      <c r="Z40" s="748"/>
      <c r="AA40" s="763"/>
      <c r="AB40" s="645"/>
      <c r="AC40" s="645"/>
      <c r="AD40" s="645"/>
      <c r="AE40" s="645"/>
      <c r="AF40" s="645"/>
      <c r="AG40" s="645"/>
      <c r="AH40" s="645"/>
      <c r="AI40" s="645"/>
      <c r="AJ40" s="645"/>
      <c r="AK40" s="645"/>
      <c r="AL40" s="645"/>
      <c r="AM40" s="645"/>
      <c r="AN40" s="645"/>
      <c r="AO40" s="645"/>
      <c r="AP40" s="645"/>
      <c r="AQ40" s="645"/>
      <c r="AR40" s="646"/>
      <c r="AS40" s="646"/>
      <c r="AT40" s="646"/>
    </row>
    <row r="41" spans="1:46" s="647" customFormat="1" ht="93" hidden="1" customHeight="1" x14ac:dyDescent="0.35">
      <c r="A41" s="764">
        <v>20</v>
      </c>
      <c r="B41" s="755">
        <v>20</v>
      </c>
      <c r="C41" s="712" t="s">
        <v>207</v>
      </c>
      <c r="D41" s="703" t="s">
        <v>413</v>
      </c>
      <c r="E41" s="720"/>
      <c r="F41" s="754"/>
      <c r="G41" s="754"/>
      <c r="H41" s="754"/>
      <c r="I41" s="705">
        <f>'ДОРОЖНЫЙ ПРИЗЫВ'!H35</f>
        <v>0</v>
      </c>
      <c r="J41" s="710" t="s">
        <v>415</v>
      </c>
      <c r="K41" s="717"/>
      <c r="L41" s="718"/>
      <c r="M41" s="746"/>
      <c r="N41" s="713"/>
      <c r="O41" s="752" t="s">
        <v>469</v>
      </c>
      <c r="P41" s="752"/>
      <c r="Q41" s="752"/>
      <c r="R41" s="713"/>
      <c r="S41" s="746"/>
      <c r="T41" s="746"/>
      <c r="U41" s="713"/>
      <c r="V41" s="746"/>
      <c r="W41" s="746"/>
      <c r="X41" s="746"/>
      <c r="Y41" s="748"/>
      <c r="Z41" s="748"/>
      <c r="AA41" s="763"/>
      <c r="AB41" s="645"/>
      <c r="AC41" s="645"/>
      <c r="AD41" s="645"/>
      <c r="AE41" s="645"/>
      <c r="AF41" s="645"/>
      <c r="AG41" s="645"/>
      <c r="AH41" s="645"/>
      <c r="AI41" s="645"/>
      <c r="AJ41" s="645"/>
      <c r="AK41" s="645"/>
      <c r="AL41" s="645"/>
      <c r="AM41" s="645"/>
      <c r="AN41" s="645"/>
      <c r="AO41" s="645"/>
      <c r="AP41" s="645"/>
      <c r="AQ41" s="645"/>
      <c r="AR41" s="646"/>
      <c r="AS41" s="646"/>
      <c r="AT41" s="646"/>
    </row>
    <row r="42" spans="1:46" s="647" customFormat="1" ht="93" hidden="1" customHeight="1" x14ac:dyDescent="0.35">
      <c r="A42" s="759" t="e">
        <f>A33+1</f>
        <v>#REF!</v>
      </c>
      <c r="B42" s="754">
        <f>B33+1</f>
        <v>15</v>
      </c>
      <c r="C42" s="712" t="s">
        <v>207</v>
      </c>
      <c r="D42" s="703" t="s">
        <v>413</v>
      </c>
      <c r="E42" s="708"/>
      <c r="F42" s="754"/>
      <c r="G42" s="754"/>
      <c r="H42" s="754"/>
      <c r="I42" s="705">
        <f>'ДОРОЖНЫЙ ПРИЗЫВ'!H36</f>
        <v>0</v>
      </c>
      <c r="J42" s="710" t="s">
        <v>415</v>
      </c>
      <c r="K42" s="717"/>
      <c r="L42" s="718"/>
      <c r="M42" s="746"/>
      <c r="N42" s="713"/>
      <c r="O42" s="752" t="s">
        <v>469</v>
      </c>
      <c r="P42" s="752"/>
      <c r="Q42" s="752"/>
      <c r="R42" s="713"/>
      <c r="S42" s="746"/>
      <c r="T42" s="746"/>
      <c r="U42" s="713"/>
      <c r="V42" s="746"/>
      <c r="W42" s="746"/>
      <c r="X42" s="746"/>
      <c r="Y42" s="748"/>
      <c r="Z42" s="748"/>
      <c r="AA42" s="763"/>
      <c r="AB42" s="645"/>
      <c r="AC42" s="645"/>
      <c r="AD42" s="645"/>
      <c r="AE42" s="645"/>
      <c r="AF42" s="645"/>
      <c r="AG42" s="645"/>
      <c r="AH42" s="645"/>
      <c r="AI42" s="645"/>
      <c r="AJ42" s="645"/>
      <c r="AK42" s="645"/>
      <c r="AL42" s="645"/>
      <c r="AM42" s="645"/>
      <c r="AN42" s="645"/>
      <c r="AO42" s="645"/>
      <c r="AP42" s="645"/>
      <c r="AQ42" s="645"/>
      <c r="AR42" s="646"/>
      <c r="AS42" s="646"/>
      <c r="AT42" s="646"/>
    </row>
    <row r="43" spans="1:46" s="647" customFormat="1" ht="93" hidden="1" customHeight="1" x14ac:dyDescent="0.35">
      <c r="A43" s="759" t="e">
        <f>A26+1</f>
        <v>#REF!</v>
      </c>
      <c r="B43" s="754" t="e">
        <f>B26+1</f>
        <v>#REF!</v>
      </c>
      <c r="C43" s="712" t="s">
        <v>207</v>
      </c>
      <c r="D43" s="703" t="s">
        <v>413</v>
      </c>
      <c r="E43" s="708"/>
      <c r="F43" s="754"/>
      <c r="G43" s="754"/>
      <c r="H43" s="754"/>
      <c r="I43" s="705">
        <f>'ДОРОЖНЫЙ ПРИЗЫВ'!H37</f>
        <v>0</v>
      </c>
      <c r="J43" s="710" t="s">
        <v>415</v>
      </c>
      <c r="K43" s="717"/>
      <c r="L43" s="718"/>
      <c r="M43" s="746"/>
      <c r="N43" s="713"/>
      <c r="O43" s="752" t="s">
        <v>469</v>
      </c>
      <c r="P43" s="752"/>
      <c r="Q43" s="752"/>
      <c r="R43" s="713"/>
      <c r="S43" s="746"/>
      <c r="T43" s="746"/>
      <c r="U43" s="713"/>
      <c r="V43" s="746"/>
      <c r="W43" s="746"/>
      <c r="X43" s="746"/>
      <c r="Y43" s="748"/>
      <c r="Z43" s="748"/>
      <c r="AA43" s="763"/>
      <c r="AB43" s="645"/>
      <c r="AC43" s="645"/>
      <c r="AD43" s="645"/>
      <c r="AE43" s="645"/>
      <c r="AF43" s="645"/>
      <c r="AG43" s="645"/>
      <c r="AH43" s="645"/>
      <c r="AI43" s="645"/>
      <c r="AJ43" s="645"/>
      <c r="AK43" s="645"/>
      <c r="AL43" s="645"/>
      <c r="AM43" s="645"/>
      <c r="AN43" s="645"/>
      <c r="AO43" s="645"/>
      <c r="AP43" s="645"/>
      <c r="AQ43" s="645"/>
      <c r="AR43" s="646"/>
      <c r="AS43" s="646"/>
      <c r="AT43" s="646"/>
    </row>
    <row r="44" spans="1:46" s="647" customFormat="1" ht="93" hidden="1" customHeight="1" x14ac:dyDescent="0.35">
      <c r="A44" s="759" t="e">
        <f t="shared" ref="A44:B54" si="1">A43+1</f>
        <v>#REF!</v>
      </c>
      <c r="B44" s="754" t="e">
        <f t="shared" si="1"/>
        <v>#REF!</v>
      </c>
      <c r="C44" s="712" t="s">
        <v>207</v>
      </c>
      <c r="D44" s="703" t="s">
        <v>413</v>
      </c>
      <c r="E44" s="708"/>
      <c r="F44" s="754"/>
      <c r="G44" s="754"/>
      <c r="H44" s="754"/>
      <c r="I44" s="705">
        <f>'ДОРОЖНЫЙ ПРИЗЫВ'!H38</f>
        <v>0</v>
      </c>
      <c r="J44" s="710" t="s">
        <v>415</v>
      </c>
      <c r="K44" s="717"/>
      <c r="L44" s="718"/>
      <c r="M44" s="746"/>
      <c r="N44" s="713"/>
      <c r="O44" s="752" t="s">
        <v>469</v>
      </c>
      <c r="P44" s="752"/>
      <c r="Q44" s="752"/>
      <c r="R44" s="713"/>
      <c r="S44" s="746"/>
      <c r="T44" s="746"/>
      <c r="U44" s="713"/>
      <c r="V44" s="746"/>
      <c r="W44" s="746"/>
      <c r="X44" s="746"/>
      <c r="Y44" s="748"/>
      <c r="Z44" s="748"/>
      <c r="AA44" s="763"/>
      <c r="AB44" s="645"/>
      <c r="AC44" s="645"/>
      <c r="AD44" s="645"/>
      <c r="AE44" s="645"/>
      <c r="AF44" s="645"/>
      <c r="AG44" s="645"/>
      <c r="AH44" s="645"/>
      <c r="AI44" s="645"/>
      <c r="AJ44" s="645"/>
      <c r="AK44" s="645"/>
      <c r="AL44" s="645"/>
      <c r="AM44" s="645"/>
      <c r="AN44" s="645"/>
      <c r="AO44" s="645"/>
      <c r="AP44" s="645"/>
      <c r="AQ44" s="645"/>
      <c r="AR44" s="646"/>
      <c r="AS44" s="646"/>
      <c r="AT44" s="646"/>
    </row>
    <row r="45" spans="1:46" s="647" customFormat="1" ht="93" hidden="1" customHeight="1" x14ac:dyDescent="0.35">
      <c r="A45" s="759" t="e">
        <f>A43+1</f>
        <v>#REF!</v>
      </c>
      <c r="B45" s="754" t="e">
        <f>B43+1</f>
        <v>#REF!</v>
      </c>
      <c r="C45" s="712" t="s">
        <v>207</v>
      </c>
      <c r="D45" s="703" t="s">
        <v>413</v>
      </c>
      <c r="E45" s="708"/>
      <c r="F45" s="754"/>
      <c r="G45" s="754"/>
      <c r="H45" s="754"/>
      <c r="I45" s="705">
        <f>'ДОРОЖНЫЙ ПРИЗЫВ'!H39</f>
        <v>0</v>
      </c>
      <c r="J45" s="710" t="s">
        <v>415</v>
      </c>
      <c r="K45" s="717"/>
      <c r="L45" s="718"/>
      <c r="M45" s="746"/>
      <c r="N45" s="713"/>
      <c r="O45" s="752" t="s">
        <v>469</v>
      </c>
      <c r="P45" s="752"/>
      <c r="Q45" s="752"/>
      <c r="R45" s="713"/>
      <c r="S45" s="746"/>
      <c r="T45" s="746"/>
      <c r="U45" s="713"/>
      <c r="V45" s="746"/>
      <c r="W45" s="746"/>
      <c r="X45" s="746"/>
      <c r="Y45" s="748"/>
      <c r="Z45" s="748"/>
      <c r="AA45" s="763"/>
      <c r="AB45" s="645"/>
      <c r="AC45" s="645"/>
      <c r="AD45" s="645"/>
      <c r="AE45" s="645"/>
      <c r="AF45" s="645"/>
      <c r="AG45" s="645"/>
      <c r="AH45" s="645"/>
      <c r="AI45" s="645"/>
      <c r="AJ45" s="645"/>
      <c r="AK45" s="645"/>
      <c r="AL45" s="645"/>
      <c r="AM45" s="645"/>
      <c r="AN45" s="645"/>
      <c r="AO45" s="645"/>
      <c r="AP45" s="645"/>
      <c r="AQ45" s="645"/>
      <c r="AR45" s="646"/>
      <c r="AS45" s="646"/>
      <c r="AT45" s="646"/>
    </row>
    <row r="46" spans="1:46" s="647" customFormat="1" ht="93" hidden="1" customHeight="1" x14ac:dyDescent="0.35">
      <c r="A46" s="759" t="e">
        <f t="shared" si="1"/>
        <v>#REF!</v>
      </c>
      <c r="B46" s="754" t="e">
        <f t="shared" si="1"/>
        <v>#REF!</v>
      </c>
      <c r="C46" s="712" t="s">
        <v>207</v>
      </c>
      <c r="D46" s="703" t="s">
        <v>413</v>
      </c>
      <c r="E46" s="708"/>
      <c r="F46" s="754"/>
      <c r="G46" s="754"/>
      <c r="H46" s="754"/>
      <c r="I46" s="705">
        <f>'ДОРОЖНЫЙ ПРИЗЫВ'!H40</f>
        <v>0</v>
      </c>
      <c r="J46" s="710" t="s">
        <v>415</v>
      </c>
      <c r="K46" s="717"/>
      <c r="L46" s="718"/>
      <c r="M46" s="746"/>
      <c r="N46" s="713"/>
      <c r="O46" s="752" t="s">
        <v>469</v>
      </c>
      <c r="P46" s="752"/>
      <c r="Q46" s="752"/>
      <c r="R46" s="713"/>
      <c r="S46" s="746"/>
      <c r="T46" s="746"/>
      <c r="U46" s="713"/>
      <c r="V46" s="746"/>
      <c r="W46" s="746"/>
      <c r="X46" s="746"/>
      <c r="Y46" s="748"/>
      <c r="Z46" s="748"/>
      <c r="AA46" s="763"/>
      <c r="AB46" s="645"/>
      <c r="AC46" s="645"/>
      <c r="AD46" s="645"/>
      <c r="AE46" s="645"/>
      <c r="AF46" s="645"/>
      <c r="AG46" s="645"/>
      <c r="AH46" s="645"/>
      <c r="AI46" s="645"/>
      <c r="AJ46" s="645"/>
      <c r="AK46" s="645"/>
      <c r="AL46" s="645"/>
      <c r="AM46" s="645"/>
      <c r="AN46" s="645"/>
      <c r="AO46" s="645"/>
      <c r="AP46" s="645"/>
      <c r="AQ46" s="645"/>
      <c r="AR46" s="646"/>
      <c r="AS46" s="646"/>
      <c r="AT46" s="646"/>
    </row>
    <row r="47" spans="1:46" s="647" customFormat="1" ht="93" hidden="1" x14ac:dyDescent="0.35">
      <c r="A47" s="759">
        <v>4</v>
      </c>
      <c r="B47" s="754" t="e">
        <f>#REF!+1</f>
        <v>#REF!</v>
      </c>
      <c r="C47" s="712" t="s">
        <v>207</v>
      </c>
      <c r="D47" s="703" t="s">
        <v>405</v>
      </c>
      <c r="E47" s="708">
        <v>43</v>
      </c>
      <c r="F47" s="754"/>
      <c r="G47" s="754"/>
      <c r="H47" s="754"/>
      <c r="I47" s="705"/>
      <c r="J47" s="710" t="s">
        <v>422</v>
      </c>
      <c r="K47" s="717">
        <v>2</v>
      </c>
      <c r="L47" s="718"/>
      <c r="M47" s="746"/>
      <c r="N47" s="746"/>
      <c r="O47" s="752" t="s">
        <v>469</v>
      </c>
      <c r="P47" s="752"/>
      <c r="Q47" s="752"/>
      <c r="R47" s="713"/>
      <c r="S47" s="713"/>
      <c r="T47" s="753"/>
      <c r="U47" s="753"/>
      <c r="V47" s="752"/>
      <c r="W47" s="746"/>
      <c r="X47" s="746"/>
      <c r="Y47" s="748"/>
      <c r="Z47" s="753"/>
      <c r="AA47" s="765"/>
      <c r="AB47" s="645"/>
      <c r="AC47" s="645"/>
      <c r="AD47" s="645"/>
      <c r="AE47" s="645"/>
      <c r="AF47" s="645"/>
      <c r="AG47" s="645"/>
      <c r="AH47" s="645"/>
      <c r="AI47" s="645"/>
      <c r="AJ47" s="645"/>
      <c r="AK47" s="645"/>
      <c r="AL47" s="645"/>
      <c r="AM47" s="645"/>
      <c r="AN47" s="645"/>
      <c r="AO47" s="645"/>
      <c r="AP47" s="645"/>
      <c r="AQ47" s="645"/>
      <c r="AR47" s="646"/>
      <c r="AS47" s="646"/>
      <c r="AT47" s="646"/>
    </row>
    <row r="48" spans="1:46" s="647" customFormat="1" ht="110.25" customHeight="1" x14ac:dyDescent="0.35">
      <c r="A48" s="759">
        <v>2</v>
      </c>
      <c r="B48" s="754"/>
      <c r="C48" s="712" t="s">
        <v>466</v>
      </c>
      <c r="D48" s="703" t="s">
        <v>405</v>
      </c>
      <c r="E48" s="708">
        <v>4</v>
      </c>
      <c r="F48" s="754"/>
      <c r="G48" s="754"/>
      <c r="H48" s="754"/>
      <c r="I48" s="705">
        <f>'ДОРОЖНЫЙ ПРИЗЫВ'!H11</f>
        <v>132738.723</v>
      </c>
      <c r="J48" s="710"/>
      <c r="K48" s="717"/>
      <c r="L48" s="718" t="s">
        <v>75</v>
      </c>
      <c r="M48" s="746" t="s">
        <v>75</v>
      </c>
      <c r="N48" s="746" t="s">
        <v>468</v>
      </c>
      <c r="O48" s="752" t="s">
        <v>469</v>
      </c>
      <c r="P48" s="752"/>
      <c r="Q48" s="752"/>
      <c r="R48" s="713"/>
      <c r="S48" s="713"/>
      <c r="T48" s="753"/>
      <c r="U48" s="753"/>
      <c r="V48" s="752"/>
      <c r="W48" s="746"/>
      <c r="X48" s="746"/>
      <c r="Y48" s="748"/>
      <c r="Z48" s="753"/>
      <c r="AA48" s="765" t="s">
        <v>488</v>
      </c>
      <c r="AB48" s="645"/>
      <c r="AC48" s="645"/>
      <c r="AD48" s="645"/>
      <c r="AE48" s="645"/>
      <c r="AF48" s="645"/>
      <c r="AG48" s="645"/>
      <c r="AH48" s="645"/>
      <c r="AI48" s="645"/>
      <c r="AJ48" s="645"/>
      <c r="AK48" s="645"/>
      <c r="AL48" s="645"/>
      <c r="AM48" s="645"/>
      <c r="AN48" s="645"/>
      <c r="AO48" s="645"/>
      <c r="AP48" s="645"/>
      <c r="AQ48" s="645"/>
      <c r="AR48" s="646"/>
      <c r="AS48" s="646"/>
      <c r="AT48" s="646"/>
    </row>
    <row r="49" spans="1:46" s="647" customFormat="1" ht="159" customHeight="1" x14ac:dyDescent="0.35">
      <c r="A49" s="759">
        <v>3</v>
      </c>
      <c r="B49" s="754" t="e">
        <f>B47+1</f>
        <v>#REF!</v>
      </c>
      <c r="C49" s="714" t="s">
        <v>312</v>
      </c>
      <c r="D49" s="703" t="s">
        <v>405</v>
      </c>
      <c r="E49" s="708">
        <v>4.2</v>
      </c>
      <c r="F49" s="754"/>
      <c r="G49" s="754"/>
      <c r="H49" s="754"/>
      <c r="I49" s="705">
        <f>'ДОРОЖНЫЙ ПРИЗЫВ'!H14</f>
        <v>118058.2</v>
      </c>
      <c r="J49" s="710" t="s">
        <v>422</v>
      </c>
      <c r="K49" s="717">
        <v>2</v>
      </c>
      <c r="L49" s="718" t="s">
        <v>470</v>
      </c>
      <c r="M49" s="746" t="s">
        <v>471</v>
      </c>
      <c r="N49" s="746" t="s">
        <v>472</v>
      </c>
      <c r="O49" s="752" t="s">
        <v>469</v>
      </c>
      <c r="P49" s="752"/>
      <c r="Q49" s="752"/>
      <c r="R49" s="713"/>
      <c r="S49" s="713"/>
      <c r="T49" s="753"/>
      <c r="U49" s="753"/>
      <c r="V49" s="752"/>
      <c r="W49" s="746"/>
      <c r="X49" s="746"/>
      <c r="Y49" s="748"/>
      <c r="Z49" s="753"/>
      <c r="AA49" s="765" t="s">
        <v>463</v>
      </c>
      <c r="AB49" s="645"/>
      <c r="AC49" s="645"/>
      <c r="AD49" s="645"/>
      <c r="AE49" s="645"/>
      <c r="AF49" s="645"/>
      <c r="AG49" s="645"/>
      <c r="AH49" s="645"/>
      <c r="AI49" s="645"/>
      <c r="AJ49" s="645"/>
      <c r="AK49" s="645"/>
      <c r="AL49" s="645"/>
      <c r="AM49" s="645"/>
      <c r="AN49" s="645"/>
      <c r="AO49" s="645"/>
      <c r="AP49" s="645"/>
      <c r="AQ49" s="645"/>
      <c r="AR49" s="646"/>
      <c r="AS49" s="646"/>
      <c r="AT49" s="646"/>
    </row>
    <row r="50" spans="1:46" s="647" customFormat="1" ht="93" hidden="1" customHeight="1" x14ac:dyDescent="0.35">
      <c r="A50" s="759">
        <f t="shared" si="1"/>
        <v>4</v>
      </c>
      <c r="B50" s="754" t="e">
        <f t="shared" si="1"/>
        <v>#REF!</v>
      </c>
      <c r="C50" s="725"/>
      <c r="D50" s="703" t="s">
        <v>413</v>
      </c>
      <c r="E50" s="708"/>
      <c r="F50" s="754"/>
      <c r="G50" s="754"/>
      <c r="H50" s="754"/>
      <c r="I50" s="705">
        <f>'ДОРОЖНЫЙ ПРИЗЫВ'!H43</f>
        <v>0</v>
      </c>
      <c r="J50" s="710" t="s">
        <v>415</v>
      </c>
      <c r="K50" s="717">
        <v>2</v>
      </c>
      <c r="L50" s="718" t="s">
        <v>473</v>
      </c>
      <c r="M50" s="746" t="s">
        <v>474</v>
      </c>
      <c r="N50" s="746" t="s">
        <v>475</v>
      </c>
      <c r="O50" s="752" t="s">
        <v>469</v>
      </c>
      <c r="P50" s="752"/>
      <c r="Q50" s="752"/>
      <c r="R50" s="713"/>
      <c r="S50" s="713"/>
      <c r="T50" s="746"/>
      <c r="U50" s="713"/>
      <c r="V50" s="746"/>
      <c r="W50" s="746"/>
      <c r="X50" s="746"/>
      <c r="Y50" s="748"/>
      <c r="Z50" s="748"/>
      <c r="AA50" s="763"/>
      <c r="AB50" s="645"/>
      <c r="AC50" s="645"/>
      <c r="AD50" s="645"/>
      <c r="AE50" s="645"/>
      <c r="AF50" s="645"/>
      <c r="AG50" s="645"/>
      <c r="AH50" s="645"/>
      <c r="AI50" s="645"/>
      <c r="AJ50" s="645"/>
      <c r="AK50" s="645"/>
      <c r="AL50" s="645"/>
      <c r="AM50" s="645"/>
      <c r="AN50" s="645"/>
      <c r="AO50" s="645"/>
      <c r="AP50" s="645"/>
      <c r="AQ50" s="645"/>
      <c r="AR50" s="646"/>
      <c r="AS50" s="646"/>
      <c r="AT50" s="646"/>
    </row>
    <row r="51" spans="1:46" s="647" customFormat="1" ht="93" hidden="1" customHeight="1" x14ac:dyDescent="0.35">
      <c r="A51" s="759">
        <f t="shared" si="1"/>
        <v>5</v>
      </c>
      <c r="B51" s="754" t="e">
        <f t="shared" si="1"/>
        <v>#REF!</v>
      </c>
      <c r="C51" s="725"/>
      <c r="D51" s="703" t="s">
        <v>413</v>
      </c>
      <c r="E51" s="708"/>
      <c r="F51" s="727"/>
      <c r="G51" s="754"/>
      <c r="H51" s="709">
        <v>1</v>
      </c>
      <c r="I51" s="705">
        <f>'ДОРОЖНЫЙ ПРИЗЫВ'!H44</f>
        <v>0</v>
      </c>
      <c r="J51" s="710" t="s">
        <v>415</v>
      </c>
      <c r="K51" s="717">
        <v>2</v>
      </c>
      <c r="L51" s="718" t="s">
        <v>476</v>
      </c>
      <c r="M51" s="746" t="s">
        <v>477</v>
      </c>
      <c r="N51" s="746" t="s">
        <v>478</v>
      </c>
      <c r="O51" s="752" t="s">
        <v>469</v>
      </c>
      <c r="P51" s="752"/>
      <c r="Q51" s="752"/>
      <c r="R51" s="713"/>
      <c r="S51" s="713"/>
      <c r="T51" s="746"/>
      <c r="U51" s="713"/>
      <c r="V51" s="746"/>
      <c r="W51" s="746"/>
      <c r="X51" s="746"/>
      <c r="Y51" s="748"/>
      <c r="Z51" s="748"/>
      <c r="AA51" s="763"/>
      <c r="AB51" s="645"/>
      <c r="AC51" s="645"/>
      <c r="AD51" s="645"/>
      <c r="AE51" s="645"/>
      <c r="AF51" s="645"/>
      <c r="AG51" s="645"/>
      <c r="AH51" s="645"/>
      <c r="AI51" s="645"/>
      <c r="AJ51" s="645"/>
      <c r="AK51" s="645"/>
      <c r="AL51" s="645"/>
      <c r="AM51" s="645"/>
      <c r="AN51" s="645"/>
      <c r="AO51" s="645"/>
      <c r="AP51" s="645"/>
      <c r="AQ51" s="645"/>
      <c r="AR51" s="646"/>
      <c r="AS51" s="646"/>
      <c r="AT51" s="646"/>
    </row>
    <row r="52" spans="1:46" s="647" customFormat="1" ht="93" hidden="1" x14ac:dyDescent="0.35">
      <c r="A52" s="759">
        <v>6</v>
      </c>
      <c r="B52" s="754" t="e">
        <f>B49+1</f>
        <v>#REF!</v>
      </c>
      <c r="C52" s="723" t="s">
        <v>311</v>
      </c>
      <c r="D52" s="703" t="s">
        <v>405</v>
      </c>
      <c r="E52" s="708">
        <v>12.1</v>
      </c>
      <c r="F52" s="754"/>
      <c r="G52" s="754"/>
      <c r="H52" s="754"/>
      <c r="I52" s="705"/>
      <c r="J52" s="710" t="s">
        <v>422</v>
      </c>
      <c r="K52" s="717">
        <v>2</v>
      </c>
      <c r="L52" s="718" t="s">
        <v>479</v>
      </c>
      <c r="M52" s="746" t="s">
        <v>480</v>
      </c>
      <c r="N52" s="746" t="s">
        <v>481</v>
      </c>
      <c r="O52" s="752" t="s">
        <v>469</v>
      </c>
      <c r="P52" s="752"/>
      <c r="Q52" s="752"/>
      <c r="R52" s="713"/>
      <c r="S52" s="713"/>
      <c r="T52" s="753"/>
      <c r="U52" s="753"/>
      <c r="V52" s="752"/>
      <c r="W52" s="746"/>
      <c r="X52" s="746"/>
      <c r="Y52" s="748"/>
      <c r="Z52" s="753"/>
      <c r="AA52" s="765"/>
      <c r="AB52" s="645"/>
      <c r="AC52" s="645"/>
      <c r="AD52" s="645"/>
      <c r="AE52" s="645"/>
      <c r="AF52" s="645"/>
      <c r="AG52" s="645"/>
      <c r="AH52" s="645"/>
      <c r="AI52" s="645"/>
      <c r="AJ52" s="645"/>
      <c r="AK52" s="645"/>
      <c r="AL52" s="645"/>
      <c r="AM52" s="645"/>
      <c r="AN52" s="645"/>
      <c r="AO52" s="645"/>
      <c r="AP52" s="645"/>
      <c r="AQ52" s="645"/>
      <c r="AR52" s="646"/>
      <c r="AS52" s="646"/>
      <c r="AT52" s="646"/>
    </row>
    <row r="53" spans="1:46" s="647" customFormat="1" ht="235.5" customHeight="1" x14ac:dyDescent="0.35">
      <c r="A53" s="759">
        <v>4</v>
      </c>
      <c r="B53" s="754" t="e">
        <f t="shared" si="1"/>
        <v>#REF!</v>
      </c>
      <c r="C53" s="723" t="s">
        <v>313</v>
      </c>
      <c r="D53" s="703" t="s">
        <v>405</v>
      </c>
      <c r="E53" s="708">
        <v>5</v>
      </c>
      <c r="F53" s="754"/>
      <c r="G53" s="754"/>
      <c r="H53" s="754"/>
      <c r="I53" s="705">
        <f>'ДОРОЖНЫЙ ПРИЗЫВ'!H16</f>
        <v>199197.5</v>
      </c>
      <c r="J53" s="710" t="s">
        <v>422</v>
      </c>
      <c r="K53" s="717">
        <v>2</v>
      </c>
      <c r="L53" s="718" t="s">
        <v>482</v>
      </c>
      <c r="M53" s="746" t="s">
        <v>483</v>
      </c>
      <c r="N53" s="746" t="s">
        <v>484</v>
      </c>
      <c r="O53" s="752" t="s">
        <v>469</v>
      </c>
      <c r="P53" s="752"/>
      <c r="Q53" s="752"/>
      <c r="R53" s="713"/>
      <c r="S53" s="713"/>
      <c r="T53" s="753"/>
      <c r="U53" s="753"/>
      <c r="V53" s="752"/>
      <c r="W53" s="746"/>
      <c r="X53" s="746"/>
      <c r="Y53" s="748"/>
      <c r="Z53" s="753"/>
      <c r="AA53" s="765" t="s">
        <v>464</v>
      </c>
      <c r="AB53" s="645"/>
      <c r="AC53" s="645"/>
      <c r="AD53" s="645"/>
      <c r="AE53" s="645"/>
      <c r="AF53" s="645"/>
      <c r="AG53" s="645"/>
      <c r="AH53" s="645"/>
      <c r="AI53" s="645"/>
      <c r="AJ53" s="645"/>
      <c r="AK53" s="645"/>
      <c r="AL53" s="645"/>
      <c r="AM53" s="645"/>
      <c r="AN53" s="645"/>
      <c r="AO53" s="645"/>
      <c r="AP53" s="645"/>
      <c r="AQ53" s="645"/>
      <c r="AR53" s="646"/>
      <c r="AS53" s="646"/>
      <c r="AT53" s="646"/>
    </row>
    <row r="54" spans="1:46" s="647" customFormat="1" ht="93" hidden="1" x14ac:dyDescent="0.35">
      <c r="A54" s="759">
        <v>8</v>
      </c>
      <c r="B54" s="754" t="e">
        <f t="shared" si="1"/>
        <v>#REF!</v>
      </c>
      <c r="C54" s="719" t="s">
        <v>314</v>
      </c>
      <c r="D54" s="703" t="s">
        <v>405</v>
      </c>
      <c r="E54" s="708">
        <v>6.7</v>
      </c>
      <c r="F54" s="754"/>
      <c r="G54" s="754"/>
      <c r="H54" s="754"/>
      <c r="I54" s="705"/>
      <c r="J54" s="710" t="s">
        <v>422</v>
      </c>
      <c r="K54" s="717">
        <v>2</v>
      </c>
      <c r="L54" s="718">
        <v>43088</v>
      </c>
      <c r="M54" s="746">
        <v>42822</v>
      </c>
      <c r="N54" s="746">
        <f>M54+75</f>
        <v>42897</v>
      </c>
      <c r="O54" s="752" t="s">
        <v>469</v>
      </c>
      <c r="P54" s="752">
        <v>42892</v>
      </c>
      <c r="Q54" s="752">
        <v>42947</v>
      </c>
      <c r="R54" s="713" t="s">
        <v>407</v>
      </c>
      <c r="S54" s="713" t="s">
        <v>409</v>
      </c>
      <c r="T54" s="753" t="s">
        <v>410</v>
      </c>
      <c r="U54" s="753" t="s">
        <v>411</v>
      </c>
      <c r="V54" s="752">
        <v>42917</v>
      </c>
      <c r="W54" s="746">
        <v>42979</v>
      </c>
      <c r="X54" s="746" t="s">
        <v>408</v>
      </c>
      <c r="Y54" s="748"/>
      <c r="Z54" s="753"/>
      <c r="AA54" s="765"/>
      <c r="AB54" s="645"/>
      <c r="AC54" s="645"/>
      <c r="AD54" s="645"/>
      <c r="AE54" s="645"/>
      <c r="AF54" s="645"/>
      <c r="AG54" s="645"/>
      <c r="AH54" s="645"/>
      <c r="AI54" s="645"/>
      <c r="AJ54" s="645"/>
      <c r="AK54" s="645"/>
      <c r="AL54" s="645"/>
      <c r="AM54" s="645"/>
      <c r="AN54" s="645"/>
      <c r="AO54" s="645"/>
      <c r="AP54" s="645"/>
      <c r="AQ54" s="645"/>
      <c r="AR54" s="646"/>
      <c r="AS54" s="646"/>
      <c r="AT54" s="646"/>
    </row>
    <row r="55" spans="1:46" s="649" customFormat="1" ht="69.75" hidden="1" x14ac:dyDescent="0.3">
      <c r="A55" s="764"/>
      <c r="B55" s="755"/>
      <c r="C55" s="728"/>
      <c r="D55" s="729"/>
      <c r="E55" s="730"/>
      <c r="F55" s="731"/>
      <c r="G55" s="732"/>
      <c r="H55" s="732"/>
      <c r="I55" s="733">
        <f>'ДОРОЖНЫЙ ПРИЗЫВ'!H48</f>
        <v>0</v>
      </c>
      <c r="J55" s="734"/>
      <c r="K55" s="715"/>
      <c r="L55" s="711"/>
      <c r="M55" s="750"/>
      <c r="N55" s="750"/>
      <c r="O55" s="752" t="s">
        <v>469</v>
      </c>
      <c r="P55" s="752"/>
      <c r="Q55" s="752"/>
      <c r="R55" s="752"/>
      <c r="S55" s="752"/>
      <c r="T55" s="751"/>
      <c r="U55" s="750"/>
      <c r="V55" s="751"/>
      <c r="W55" s="751"/>
      <c r="X55" s="750"/>
      <c r="Y55" s="751"/>
      <c r="Z55" s="751"/>
      <c r="AA55" s="766"/>
    </row>
    <row r="56" spans="1:46" s="649" customFormat="1" ht="139.5" hidden="1" x14ac:dyDescent="0.3">
      <c r="A56" s="764"/>
      <c r="B56" s="755"/>
      <c r="C56" s="702"/>
      <c r="D56" s="703" t="s">
        <v>414</v>
      </c>
      <c r="E56" s="730"/>
      <c r="F56" s="704">
        <v>344.6</v>
      </c>
      <c r="G56" s="732"/>
      <c r="H56" s="732"/>
      <c r="I56" s="735">
        <f>'ДОРОЖНЫЙ ПРИЗЫВ'!H49</f>
        <v>0</v>
      </c>
      <c r="J56" s="710" t="s">
        <v>423</v>
      </c>
      <c r="K56" s="715"/>
      <c r="L56" s="711"/>
      <c r="M56" s="750"/>
      <c r="N56" s="750"/>
      <c r="O56" s="752" t="s">
        <v>469</v>
      </c>
      <c r="P56" s="752"/>
      <c r="Q56" s="752"/>
      <c r="R56" s="752"/>
      <c r="S56" s="752"/>
      <c r="T56" s="751"/>
      <c r="U56" s="713"/>
      <c r="V56" s="751"/>
      <c r="W56" s="751"/>
      <c r="X56" s="750"/>
      <c r="Y56" s="751"/>
      <c r="Z56" s="751"/>
      <c r="AA56" s="766"/>
    </row>
    <row r="57" spans="1:46" s="649" customFormat="1" ht="116.25" hidden="1" x14ac:dyDescent="0.3">
      <c r="A57" s="764"/>
      <c r="B57" s="755"/>
      <c r="C57" s="702"/>
      <c r="D57" s="703" t="s">
        <v>414</v>
      </c>
      <c r="E57" s="730"/>
      <c r="F57" s="704">
        <v>103.8</v>
      </c>
      <c r="G57" s="732"/>
      <c r="H57" s="732"/>
      <c r="I57" s="735">
        <f>'ДОРОЖНЫЙ ПРИЗЫВ'!H50</f>
        <v>0</v>
      </c>
      <c r="J57" s="710" t="s">
        <v>424</v>
      </c>
      <c r="K57" s="715"/>
      <c r="L57" s="711"/>
      <c r="M57" s="750"/>
      <c r="N57" s="750"/>
      <c r="O57" s="752" t="s">
        <v>469</v>
      </c>
      <c r="P57" s="752"/>
      <c r="Q57" s="752"/>
      <c r="R57" s="752"/>
      <c r="S57" s="752"/>
      <c r="T57" s="751"/>
      <c r="U57" s="713"/>
      <c r="V57" s="751"/>
      <c r="W57" s="751"/>
      <c r="X57" s="750"/>
      <c r="Y57" s="751"/>
      <c r="Z57" s="751"/>
      <c r="AA57" s="766"/>
    </row>
    <row r="58" spans="1:46" s="649" customFormat="1" ht="93" hidden="1" x14ac:dyDescent="0.3">
      <c r="A58" s="764"/>
      <c r="B58" s="755"/>
      <c r="C58" s="702"/>
      <c r="D58" s="703" t="s">
        <v>414</v>
      </c>
      <c r="E58" s="730"/>
      <c r="F58" s="704">
        <v>102</v>
      </c>
      <c r="G58" s="732"/>
      <c r="H58" s="732"/>
      <c r="I58" s="735">
        <f>'ДОРОЖНЫЙ ПРИЗЫВ'!H51</f>
        <v>0</v>
      </c>
      <c r="J58" s="710" t="s">
        <v>425</v>
      </c>
      <c r="K58" s="715"/>
      <c r="L58" s="711"/>
      <c r="M58" s="750"/>
      <c r="N58" s="750"/>
      <c r="O58" s="752" t="s">
        <v>469</v>
      </c>
      <c r="P58" s="752"/>
      <c r="Q58" s="752"/>
      <c r="R58" s="752"/>
      <c r="S58" s="752"/>
      <c r="T58" s="751"/>
      <c r="U58" s="713"/>
      <c r="V58" s="751"/>
      <c r="W58" s="751"/>
      <c r="X58" s="750"/>
      <c r="Y58" s="751"/>
      <c r="Z58" s="751"/>
      <c r="AA58" s="766"/>
    </row>
    <row r="59" spans="1:46" s="649" customFormat="1" ht="69.75" hidden="1" x14ac:dyDescent="0.3">
      <c r="A59" s="764"/>
      <c r="B59" s="755"/>
      <c r="C59" s="702"/>
      <c r="D59" s="703" t="s">
        <v>414</v>
      </c>
      <c r="E59" s="730"/>
      <c r="F59" s="704">
        <v>288.60000000000002</v>
      </c>
      <c r="G59" s="732"/>
      <c r="H59" s="732"/>
      <c r="I59" s="735">
        <f>'ДОРОЖНЫЙ ПРИЗЫВ'!H52</f>
        <v>0</v>
      </c>
      <c r="J59" s="710" t="s">
        <v>426</v>
      </c>
      <c r="K59" s="715"/>
      <c r="L59" s="711"/>
      <c r="M59" s="750"/>
      <c r="N59" s="750"/>
      <c r="O59" s="752" t="s">
        <v>469</v>
      </c>
      <c r="P59" s="752"/>
      <c r="Q59" s="752"/>
      <c r="R59" s="752"/>
      <c r="S59" s="752"/>
      <c r="T59" s="751"/>
      <c r="U59" s="713"/>
      <c r="V59" s="751"/>
      <c r="W59" s="751"/>
      <c r="X59" s="750"/>
      <c r="Y59" s="751"/>
      <c r="Z59" s="751"/>
      <c r="AA59" s="766"/>
    </row>
    <row r="60" spans="1:46" s="649" customFormat="1" ht="21" hidden="1" customHeight="1" x14ac:dyDescent="0.3">
      <c r="A60" s="764"/>
      <c r="B60" s="755"/>
      <c r="C60" s="702"/>
      <c r="D60" s="703" t="s">
        <v>414</v>
      </c>
      <c r="E60" s="730"/>
      <c r="F60" s="704">
        <v>217.1</v>
      </c>
      <c r="G60" s="732"/>
      <c r="H60" s="732"/>
      <c r="I60" s="735">
        <f>'ДОРОЖНЫЙ ПРИЗЫВ'!H53</f>
        <v>0</v>
      </c>
      <c r="J60" s="710" t="s">
        <v>426</v>
      </c>
      <c r="K60" s="715"/>
      <c r="L60" s="711"/>
      <c r="M60" s="750"/>
      <c r="N60" s="750"/>
      <c r="O60" s="752" t="s">
        <v>469</v>
      </c>
      <c r="P60" s="752"/>
      <c r="Q60" s="752"/>
      <c r="R60" s="752"/>
      <c r="S60" s="752"/>
      <c r="T60" s="751"/>
      <c r="U60" s="713"/>
      <c r="V60" s="751"/>
      <c r="W60" s="751"/>
      <c r="X60" s="750"/>
      <c r="Y60" s="751"/>
      <c r="Z60" s="751"/>
      <c r="AA60" s="766"/>
    </row>
    <row r="61" spans="1:46" s="649" customFormat="1" ht="60.75" hidden="1" customHeight="1" x14ac:dyDescent="0.3">
      <c r="A61" s="764"/>
      <c r="B61" s="755"/>
      <c r="C61" s="702"/>
      <c r="D61" s="703" t="s">
        <v>414</v>
      </c>
      <c r="E61" s="730"/>
      <c r="F61" s="704">
        <v>443.8</v>
      </c>
      <c r="G61" s="732"/>
      <c r="H61" s="732"/>
      <c r="I61" s="735">
        <f>'ДОРОЖНЫЙ ПРИЗЫВ'!H54</f>
        <v>0</v>
      </c>
      <c r="J61" s="710" t="s">
        <v>426</v>
      </c>
      <c r="K61" s="715"/>
      <c r="L61" s="711"/>
      <c r="M61" s="750"/>
      <c r="N61" s="750"/>
      <c r="O61" s="752" t="s">
        <v>469</v>
      </c>
      <c r="P61" s="752"/>
      <c r="Q61" s="752"/>
      <c r="R61" s="752"/>
      <c r="S61" s="752"/>
      <c r="T61" s="751"/>
      <c r="U61" s="713"/>
      <c r="V61" s="751"/>
      <c r="W61" s="751"/>
      <c r="X61" s="750"/>
      <c r="Y61" s="751"/>
      <c r="Z61" s="751"/>
      <c r="AA61" s="766"/>
    </row>
    <row r="62" spans="1:46" s="649" customFormat="1" ht="60.75" hidden="1" customHeight="1" x14ac:dyDescent="0.3">
      <c r="A62" s="764"/>
      <c r="B62" s="755"/>
      <c r="C62" s="702"/>
      <c r="D62" s="703" t="s">
        <v>414</v>
      </c>
      <c r="E62" s="730"/>
      <c r="F62" s="704">
        <v>18.2</v>
      </c>
      <c r="G62" s="732"/>
      <c r="H62" s="732"/>
      <c r="I62" s="735">
        <f>'ДОРОЖНЫЙ ПРИЗЫВ'!H55</f>
        <v>0</v>
      </c>
      <c r="J62" s="710" t="s">
        <v>427</v>
      </c>
      <c r="K62" s="715"/>
      <c r="L62" s="711"/>
      <c r="M62" s="750"/>
      <c r="N62" s="750"/>
      <c r="O62" s="752" t="s">
        <v>469</v>
      </c>
      <c r="P62" s="752"/>
      <c r="Q62" s="752"/>
      <c r="R62" s="752"/>
      <c r="S62" s="752"/>
      <c r="T62" s="751"/>
      <c r="U62" s="713"/>
      <c r="V62" s="751"/>
      <c r="W62" s="751"/>
      <c r="X62" s="750"/>
      <c r="Y62" s="751"/>
      <c r="Z62" s="751"/>
      <c r="AA62" s="766"/>
    </row>
    <row r="63" spans="1:46" s="649" customFormat="1" ht="98.25" hidden="1" customHeight="1" x14ac:dyDescent="0.3">
      <c r="A63" s="764"/>
      <c r="B63" s="755"/>
      <c r="C63" s="702"/>
      <c r="D63" s="703" t="s">
        <v>414</v>
      </c>
      <c r="E63" s="730"/>
      <c r="F63" s="704">
        <v>66.27</v>
      </c>
      <c r="G63" s="732"/>
      <c r="H63" s="732"/>
      <c r="I63" s="735">
        <f>'ДОРОЖНЫЙ ПРИЗЫВ'!H56</f>
        <v>0</v>
      </c>
      <c r="J63" s="710" t="s">
        <v>428</v>
      </c>
      <c r="K63" s="715"/>
      <c r="L63" s="711"/>
      <c r="M63" s="750"/>
      <c r="N63" s="750"/>
      <c r="O63" s="752" t="s">
        <v>469</v>
      </c>
      <c r="P63" s="752"/>
      <c r="Q63" s="752"/>
      <c r="R63" s="752"/>
      <c r="S63" s="752"/>
      <c r="T63" s="751"/>
      <c r="U63" s="713"/>
      <c r="V63" s="751"/>
      <c r="W63" s="751"/>
      <c r="X63" s="750"/>
      <c r="Y63" s="751"/>
      <c r="Z63" s="751"/>
      <c r="AA63" s="766"/>
    </row>
    <row r="64" spans="1:46" s="649" customFormat="1" ht="46.5" hidden="1" customHeight="1" x14ac:dyDescent="0.3">
      <c r="A64" s="764"/>
      <c r="B64" s="755"/>
      <c r="C64" s="702"/>
      <c r="D64" s="703" t="s">
        <v>414</v>
      </c>
      <c r="E64" s="708"/>
      <c r="F64" s="709">
        <v>36.07</v>
      </c>
      <c r="G64" s="754"/>
      <c r="H64" s="754"/>
      <c r="I64" s="735">
        <f>'ДОРОЖНЫЙ ПРИЗЫВ'!H57</f>
        <v>0</v>
      </c>
      <c r="J64" s="710" t="s">
        <v>429</v>
      </c>
      <c r="K64" s="715"/>
      <c r="L64" s="711"/>
      <c r="M64" s="750"/>
      <c r="N64" s="750"/>
      <c r="O64" s="752" t="s">
        <v>469</v>
      </c>
      <c r="P64" s="752"/>
      <c r="Q64" s="752"/>
      <c r="R64" s="752"/>
      <c r="S64" s="752"/>
      <c r="T64" s="751"/>
      <c r="U64" s="713"/>
      <c r="V64" s="751"/>
      <c r="W64" s="751"/>
      <c r="X64" s="750"/>
      <c r="Y64" s="751"/>
      <c r="Z64" s="751"/>
      <c r="AA64" s="766"/>
    </row>
    <row r="65" spans="1:27" s="649" customFormat="1" ht="59.25" hidden="1" customHeight="1" x14ac:dyDescent="0.3">
      <c r="A65" s="764"/>
      <c r="B65" s="755"/>
      <c r="C65" s="702"/>
      <c r="D65" s="703" t="s">
        <v>414</v>
      </c>
      <c r="E65" s="708"/>
      <c r="F65" s="709">
        <v>18.3</v>
      </c>
      <c r="G65" s="754"/>
      <c r="H65" s="754"/>
      <c r="I65" s="735">
        <f>'ДОРОЖНЫЙ ПРИЗЫВ'!H58</f>
        <v>0</v>
      </c>
      <c r="J65" s="710" t="s">
        <v>430</v>
      </c>
      <c r="K65" s="715"/>
      <c r="L65" s="711"/>
      <c r="M65" s="750"/>
      <c r="N65" s="750"/>
      <c r="O65" s="752" t="s">
        <v>469</v>
      </c>
      <c r="P65" s="752"/>
      <c r="Q65" s="752"/>
      <c r="R65" s="752"/>
      <c r="S65" s="752"/>
      <c r="T65" s="751"/>
      <c r="U65" s="713"/>
      <c r="V65" s="751"/>
      <c r="W65" s="751"/>
      <c r="X65" s="750"/>
      <c r="Y65" s="751"/>
      <c r="Z65" s="751"/>
      <c r="AA65" s="766"/>
    </row>
    <row r="66" spans="1:27" s="649" customFormat="1" ht="46.5" hidden="1" customHeight="1" x14ac:dyDescent="0.3">
      <c r="A66" s="764"/>
      <c r="B66" s="755"/>
      <c r="C66" s="702"/>
      <c r="D66" s="703" t="s">
        <v>414</v>
      </c>
      <c r="E66" s="708"/>
      <c r="F66" s="709">
        <v>33.700000000000003</v>
      </c>
      <c r="G66" s="754"/>
      <c r="H66" s="754"/>
      <c r="I66" s="735">
        <f>'ДОРОЖНЫЙ ПРИЗЫВ'!H59</f>
        <v>0</v>
      </c>
      <c r="J66" s="710" t="s">
        <v>431</v>
      </c>
      <c r="K66" s="715"/>
      <c r="L66" s="711"/>
      <c r="M66" s="750"/>
      <c r="N66" s="750"/>
      <c r="O66" s="752" t="s">
        <v>469</v>
      </c>
      <c r="P66" s="752"/>
      <c r="Q66" s="752"/>
      <c r="R66" s="752"/>
      <c r="S66" s="752"/>
      <c r="T66" s="751"/>
      <c r="U66" s="713"/>
      <c r="V66" s="751"/>
      <c r="W66" s="751"/>
      <c r="X66" s="750"/>
      <c r="Y66" s="751"/>
      <c r="Z66" s="751"/>
      <c r="AA66" s="766"/>
    </row>
    <row r="67" spans="1:27" s="649" customFormat="1" ht="121.5" hidden="1" customHeight="1" x14ac:dyDescent="0.3">
      <c r="A67" s="764"/>
      <c r="B67" s="755"/>
      <c r="C67" s="702"/>
      <c r="D67" s="703" t="s">
        <v>414</v>
      </c>
      <c r="E67" s="708"/>
      <c r="F67" s="709">
        <v>129.9</v>
      </c>
      <c r="G67" s="754"/>
      <c r="H67" s="754"/>
      <c r="I67" s="735">
        <f>'ДОРОЖНЫЙ ПРИЗЫВ'!H60</f>
        <v>0</v>
      </c>
      <c r="J67" s="710" t="s">
        <v>432</v>
      </c>
      <c r="K67" s="715"/>
      <c r="L67" s="711"/>
      <c r="M67" s="750"/>
      <c r="N67" s="750"/>
      <c r="O67" s="752" t="s">
        <v>469</v>
      </c>
      <c r="P67" s="752"/>
      <c r="Q67" s="752"/>
      <c r="R67" s="752"/>
      <c r="S67" s="752"/>
      <c r="T67" s="751"/>
      <c r="U67" s="713"/>
      <c r="V67" s="751"/>
      <c r="W67" s="751"/>
      <c r="X67" s="750"/>
      <c r="Y67" s="751"/>
      <c r="Z67" s="751"/>
      <c r="AA67" s="766"/>
    </row>
    <row r="68" spans="1:27" s="649" customFormat="1" ht="78" hidden="1" customHeight="1" x14ac:dyDescent="0.3">
      <c r="A68" s="764"/>
      <c r="B68" s="755"/>
      <c r="C68" s="702"/>
      <c r="D68" s="703" t="s">
        <v>414</v>
      </c>
      <c r="E68" s="708"/>
      <c r="F68" s="709">
        <v>23.72</v>
      </c>
      <c r="G68" s="754"/>
      <c r="H68" s="754"/>
      <c r="I68" s="735">
        <f>'ДОРОЖНЫЙ ПРИЗЫВ'!H61</f>
        <v>0</v>
      </c>
      <c r="J68" s="710" t="s">
        <v>433</v>
      </c>
      <c r="K68" s="715"/>
      <c r="L68" s="711"/>
      <c r="M68" s="750"/>
      <c r="N68" s="750"/>
      <c r="O68" s="752" t="s">
        <v>469</v>
      </c>
      <c r="P68" s="752"/>
      <c r="Q68" s="752"/>
      <c r="R68" s="752"/>
      <c r="S68" s="752"/>
      <c r="T68" s="751"/>
      <c r="U68" s="713"/>
      <c r="V68" s="751"/>
      <c r="W68" s="751"/>
      <c r="X68" s="750"/>
      <c r="Y68" s="751"/>
      <c r="Z68" s="751"/>
      <c r="AA68" s="766"/>
    </row>
    <row r="69" spans="1:27" s="649" customFormat="1" ht="58.5" hidden="1" customHeight="1" x14ac:dyDescent="0.3">
      <c r="A69" s="764"/>
      <c r="B69" s="755"/>
      <c r="C69" s="702"/>
      <c r="D69" s="703" t="s">
        <v>414</v>
      </c>
      <c r="E69" s="708"/>
      <c r="F69" s="709">
        <v>18</v>
      </c>
      <c r="G69" s="754"/>
      <c r="H69" s="754"/>
      <c r="I69" s="735">
        <f>'ДОРОЖНЫЙ ПРИЗЫВ'!H62</f>
        <v>0</v>
      </c>
      <c r="J69" s="710" t="s">
        <v>434</v>
      </c>
      <c r="K69" s="715"/>
      <c r="L69" s="711"/>
      <c r="M69" s="750"/>
      <c r="N69" s="750"/>
      <c r="O69" s="752" t="s">
        <v>469</v>
      </c>
      <c r="P69" s="752"/>
      <c r="Q69" s="752"/>
      <c r="R69" s="752"/>
      <c r="S69" s="752"/>
      <c r="T69" s="751"/>
      <c r="U69" s="713"/>
      <c r="V69" s="751"/>
      <c r="W69" s="751"/>
      <c r="X69" s="750"/>
      <c r="Y69" s="751"/>
      <c r="Z69" s="751"/>
      <c r="AA69" s="766"/>
    </row>
    <row r="70" spans="1:27" s="649" customFormat="1" ht="42.75" hidden="1" customHeight="1" x14ac:dyDescent="0.3">
      <c r="A70" s="764"/>
      <c r="B70" s="755"/>
      <c r="C70" s="702"/>
      <c r="D70" s="703" t="s">
        <v>414</v>
      </c>
      <c r="E70" s="708"/>
      <c r="F70" s="709">
        <v>24.3</v>
      </c>
      <c r="G70" s="754"/>
      <c r="H70" s="754"/>
      <c r="I70" s="735">
        <f>'ДОРОЖНЫЙ ПРИЗЫВ'!H63</f>
        <v>0</v>
      </c>
      <c r="J70" s="710" t="s">
        <v>435</v>
      </c>
      <c r="K70" s="715"/>
      <c r="L70" s="711"/>
      <c r="M70" s="750"/>
      <c r="N70" s="750"/>
      <c r="O70" s="752" t="s">
        <v>469</v>
      </c>
      <c r="P70" s="752"/>
      <c r="Q70" s="752"/>
      <c r="R70" s="752"/>
      <c r="S70" s="752"/>
      <c r="T70" s="751"/>
      <c r="U70" s="713"/>
      <c r="V70" s="751"/>
      <c r="W70" s="751"/>
      <c r="X70" s="750"/>
      <c r="Y70" s="751"/>
      <c r="Z70" s="751"/>
      <c r="AA70" s="766"/>
    </row>
    <row r="71" spans="1:27" s="649" customFormat="1" ht="23.25" hidden="1" customHeight="1" x14ac:dyDescent="0.3">
      <c r="A71" s="764"/>
      <c r="B71" s="755"/>
      <c r="C71" s="728"/>
      <c r="D71" s="703"/>
      <c r="E71" s="708"/>
      <c r="F71" s="709"/>
      <c r="G71" s="754"/>
      <c r="H71" s="754"/>
      <c r="I71" s="733">
        <f>'ДОРОЖНЫЙ ПРИЗЫВ'!H64</f>
        <v>0</v>
      </c>
      <c r="J71" s="710"/>
      <c r="K71" s="715"/>
      <c r="L71" s="711"/>
      <c r="M71" s="750"/>
      <c r="N71" s="750"/>
      <c r="O71" s="752" t="s">
        <v>469</v>
      </c>
      <c r="P71" s="752"/>
      <c r="Q71" s="752"/>
      <c r="R71" s="752"/>
      <c r="S71" s="752"/>
      <c r="T71" s="751"/>
      <c r="U71" s="713"/>
      <c r="V71" s="751"/>
      <c r="W71" s="751"/>
      <c r="X71" s="750"/>
      <c r="Y71" s="751"/>
      <c r="Z71" s="751"/>
      <c r="AA71" s="766"/>
    </row>
    <row r="72" spans="1:27" s="649" customFormat="1" ht="95.25" customHeight="1" x14ac:dyDescent="0.3">
      <c r="A72" s="764">
        <v>5</v>
      </c>
      <c r="B72" s="755"/>
      <c r="C72" s="719" t="s">
        <v>361</v>
      </c>
      <c r="D72" s="703" t="s">
        <v>405</v>
      </c>
      <c r="E72" s="708">
        <v>1.93</v>
      </c>
      <c r="F72" s="709"/>
      <c r="G72" s="754"/>
      <c r="H72" s="754"/>
      <c r="I72" s="744">
        <f>'ДОРОЖНЫЙ ПРИЗЫВ'!H18</f>
        <v>41260</v>
      </c>
      <c r="J72" s="710"/>
      <c r="K72" s="715"/>
      <c r="L72" s="711" t="s">
        <v>75</v>
      </c>
      <c r="M72" s="750"/>
      <c r="N72" s="713" t="s">
        <v>486</v>
      </c>
      <c r="O72" s="752" t="s">
        <v>469</v>
      </c>
      <c r="P72" s="752"/>
      <c r="Q72" s="752"/>
      <c r="R72" s="752"/>
      <c r="S72" s="752"/>
      <c r="T72" s="751"/>
      <c r="U72" s="713"/>
      <c r="V72" s="751"/>
      <c r="W72" s="751"/>
      <c r="X72" s="750"/>
      <c r="Y72" s="751"/>
      <c r="Z72" s="751"/>
      <c r="AA72" s="760" t="s">
        <v>485</v>
      </c>
    </row>
    <row r="73" spans="1:27" s="649" customFormat="1" ht="69.75" x14ac:dyDescent="0.3">
      <c r="A73" s="764">
        <v>6</v>
      </c>
      <c r="B73" s="755"/>
      <c r="C73" s="723" t="s">
        <v>198</v>
      </c>
      <c r="D73" s="703" t="s">
        <v>405</v>
      </c>
      <c r="E73" s="708">
        <v>9.19</v>
      </c>
      <c r="F73" s="709"/>
      <c r="G73" s="754"/>
      <c r="H73" s="754"/>
      <c r="I73" s="744">
        <f>'ДОРОЖНЫЙ ПРИЗЫВ'!H19</f>
        <v>130126.39999999999</v>
      </c>
      <c r="J73" s="710"/>
      <c r="K73" s="715"/>
      <c r="L73" s="711" t="s">
        <v>487</v>
      </c>
      <c r="M73" s="750" t="s">
        <v>75</v>
      </c>
      <c r="N73" s="713" t="s">
        <v>486</v>
      </c>
      <c r="O73" s="752" t="s">
        <v>469</v>
      </c>
      <c r="P73" s="752"/>
      <c r="Q73" s="752"/>
      <c r="R73" s="752"/>
      <c r="S73" s="752"/>
      <c r="T73" s="751"/>
      <c r="U73" s="713"/>
      <c r="V73" s="751"/>
      <c r="W73" s="751"/>
      <c r="X73" s="750"/>
      <c r="Y73" s="751"/>
      <c r="Z73" s="751"/>
      <c r="AA73" s="760" t="s">
        <v>461</v>
      </c>
    </row>
    <row r="74" spans="1:27" s="649" customFormat="1" ht="117" thickBot="1" x14ac:dyDescent="0.35">
      <c r="A74" s="764">
        <v>7</v>
      </c>
      <c r="B74" s="755"/>
      <c r="C74" s="724" t="s">
        <v>363</v>
      </c>
      <c r="D74" s="703" t="s">
        <v>405</v>
      </c>
      <c r="E74" s="708">
        <v>0</v>
      </c>
      <c r="F74" s="709"/>
      <c r="G74" s="754"/>
      <c r="H74" s="754"/>
      <c r="I74" s="744">
        <f>'ДОРОЖНЫЙ ПРИЗЫВ'!H20</f>
        <v>78000</v>
      </c>
      <c r="J74" s="710"/>
      <c r="K74" s="715"/>
      <c r="L74" s="718" t="s">
        <v>470</v>
      </c>
      <c r="M74" s="746" t="s">
        <v>471</v>
      </c>
      <c r="N74" s="746" t="s">
        <v>472</v>
      </c>
      <c r="O74" s="752" t="s">
        <v>469</v>
      </c>
      <c r="P74" s="752"/>
      <c r="Q74" s="752"/>
      <c r="R74" s="752"/>
      <c r="S74" s="752"/>
      <c r="T74" s="751"/>
      <c r="U74" s="713"/>
      <c r="V74" s="751"/>
      <c r="W74" s="751"/>
      <c r="X74" s="750"/>
      <c r="Y74" s="751"/>
      <c r="Z74" s="751"/>
      <c r="AA74" s="760" t="s">
        <v>489</v>
      </c>
    </row>
    <row r="75" spans="1:27" s="649" customFormat="1" ht="21" hidden="1" customHeight="1" x14ac:dyDescent="0.3">
      <c r="A75" s="764"/>
      <c r="B75" s="755"/>
      <c r="C75" s="736"/>
      <c r="D75" s="729"/>
      <c r="E75" s="730"/>
      <c r="F75" s="731"/>
      <c r="G75" s="732"/>
      <c r="H75" s="732"/>
      <c r="I75" s="744"/>
      <c r="J75" s="734"/>
      <c r="K75" s="715"/>
      <c r="L75" s="711"/>
      <c r="M75" s="750"/>
      <c r="N75" s="750"/>
      <c r="O75" s="752"/>
      <c r="P75" s="752"/>
      <c r="Q75" s="752"/>
      <c r="R75" s="752"/>
      <c r="S75" s="752"/>
      <c r="T75" s="751"/>
      <c r="U75" s="750"/>
      <c r="V75" s="751"/>
      <c r="W75" s="751"/>
      <c r="X75" s="750"/>
      <c r="Y75" s="751"/>
      <c r="Z75" s="751"/>
      <c r="AA75" s="766"/>
    </row>
    <row r="76" spans="1:27" s="649" customFormat="1" ht="49.5" hidden="1" customHeight="1" x14ac:dyDescent="0.3">
      <c r="A76" s="764">
        <v>41</v>
      </c>
      <c r="B76" s="755">
        <v>1</v>
      </c>
      <c r="C76" s="737" t="s">
        <v>436</v>
      </c>
      <c r="D76" s="738" t="s">
        <v>413</v>
      </c>
      <c r="E76" s="739"/>
      <c r="F76" s="740">
        <v>24</v>
      </c>
      <c r="G76" s="741"/>
      <c r="H76" s="741"/>
      <c r="I76" s="742"/>
      <c r="J76" s="710" t="s">
        <v>437</v>
      </c>
      <c r="K76" s="715"/>
      <c r="L76" s="711"/>
      <c r="M76" s="750"/>
      <c r="N76" s="750"/>
      <c r="O76" s="752"/>
      <c r="P76" s="752"/>
      <c r="Q76" s="752"/>
      <c r="R76" s="752"/>
      <c r="S76" s="752"/>
      <c r="T76" s="751"/>
      <c r="U76" s="713"/>
      <c r="V76" s="751"/>
      <c r="W76" s="751"/>
      <c r="X76" s="750"/>
      <c r="Y76" s="751"/>
      <c r="Z76" s="751"/>
      <c r="AA76" s="766"/>
    </row>
    <row r="77" spans="1:27" s="649" customFormat="1" ht="23.25" hidden="1" x14ac:dyDescent="0.3">
      <c r="A77" s="764"/>
      <c r="B77" s="755"/>
      <c r="C77" s="702"/>
      <c r="D77" s="738"/>
      <c r="E77" s="739"/>
      <c r="F77" s="740"/>
      <c r="G77" s="741"/>
      <c r="H77" s="741"/>
      <c r="I77" s="733"/>
      <c r="J77" s="726"/>
      <c r="K77" s="715"/>
      <c r="L77" s="711"/>
      <c r="M77" s="750"/>
      <c r="N77" s="750"/>
      <c r="O77" s="752"/>
      <c r="P77" s="752"/>
      <c r="Q77" s="752"/>
      <c r="R77" s="752"/>
      <c r="S77" s="752"/>
      <c r="T77" s="751"/>
      <c r="U77" s="749"/>
      <c r="V77" s="751"/>
      <c r="W77" s="751"/>
      <c r="X77" s="750"/>
      <c r="Y77" s="751"/>
      <c r="Z77" s="751"/>
      <c r="AA77" s="766"/>
    </row>
    <row r="78" spans="1:27" s="649" customFormat="1" ht="45.75" hidden="1" customHeight="1" x14ac:dyDescent="0.3">
      <c r="A78" s="764" t="e">
        <f>#REF!+1</f>
        <v>#REF!</v>
      </c>
      <c r="B78" s="755"/>
      <c r="C78" s="728" t="s">
        <v>438</v>
      </c>
      <c r="D78" s="729"/>
      <c r="E78" s="730"/>
      <c r="F78" s="731"/>
      <c r="G78" s="732"/>
      <c r="H78" s="743">
        <v>25000</v>
      </c>
      <c r="I78" s="733"/>
      <c r="J78" s="734"/>
      <c r="K78" s="715"/>
      <c r="L78" s="711"/>
      <c r="M78" s="750"/>
      <c r="N78" s="750"/>
      <c r="O78" s="752"/>
      <c r="P78" s="752"/>
      <c r="Q78" s="752"/>
      <c r="R78" s="752"/>
      <c r="S78" s="752"/>
      <c r="T78" s="751"/>
      <c r="U78" s="750"/>
      <c r="V78" s="751"/>
      <c r="W78" s="751"/>
      <c r="X78" s="750"/>
      <c r="Y78" s="751"/>
      <c r="Z78" s="751"/>
      <c r="AA78" s="766"/>
    </row>
    <row r="79" spans="1:27" s="649" customFormat="1" ht="77.25" hidden="1" customHeight="1" x14ac:dyDescent="0.3">
      <c r="A79" s="764"/>
      <c r="B79" s="755"/>
      <c r="C79" s="728" t="s">
        <v>439</v>
      </c>
      <c r="D79" s="729"/>
      <c r="E79" s="730"/>
      <c r="F79" s="731"/>
      <c r="G79" s="732"/>
      <c r="H79" s="732"/>
      <c r="I79" s="733"/>
      <c r="J79" s="726" t="s">
        <v>440</v>
      </c>
      <c r="K79" s="715"/>
      <c r="L79" s="711"/>
      <c r="M79" s="750"/>
      <c r="N79" s="750"/>
      <c r="O79" s="752"/>
      <c r="P79" s="752"/>
      <c r="Q79" s="752"/>
      <c r="R79" s="752"/>
      <c r="S79" s="752"/>
      <c r="T79" s="751"/>
      <c r="U79" s="749"/>
      <c r="V79" s="751"/>
      <c r="W79" s="751"/>
      <c r="X79" s="750"/>
      <c r="Y79" s="751"/>
      <c r="Z79" s="751"/>
      <c r="AA79" s="766"/>
    </row>
    <row r="80" spans="1:27" s="649" customFormat="1" ht="116.45" hidden="1" customHeight="1" x14ac:dyDescent="0.3">
      <c r="A80" s="764"/>
      <c r="B80" s="755"/>
      <c r="C80" s="728" t="s">
        <v>441</v>
      </c>
      <c r="D80" s="729"/>
      <c r="E80" s="730"/>
      <c r="F80" s="731"/>
      <c r="G80" s="732"/>
      <c r="H80" s="732"/>
      <c r="I80" s="733"/>
      <c r="J80" s="726"/>
      <c r="K80" s="715"/>
      <c r="L80" s="711"/>
      <c r="M80" s="750"/>
      <c r="N80" s="750"/>
      <c r="O80" s="752"/>
      <c r="P80" s="752"/>
      <c r="Q80" s="752"/>
      <c r="R80" s="752"/>
      <c r="S80" s="752"/>
      <c r="T80" s="751"/>
      <c r="U80" s="749"/>
      <c r="V80" s="751"/>
      <c r="W80" s="751"/>
      <c r="X80" s="750"/>
      <c r="Y80" s="751"/>
      <c r="Z80" s="751"/>
      <c r="AA80" s="766"/>
    </row>
    <row r="81" spans="1:46" s="649" customFormat="1" ht="45.75" hidden="1" customHeight="1" x14ac:dyDescent="0.3">
      <c r="A81" s="764"/>
      <c r="B81" s="755"/>
      <c r="C81" s="728" t="s">
        <v>438</v>
      </c>
      <c r="D81" s="729"/>
      <c r="E81" s="730"/>
      <c r="F81" s="731"/>
      <c r="G81" s="732"/>
      <c r="H81" s="732"/>
      <c r="I81" s="733"/>
      <c r="J81" s="710"/>
      <c r="K81" s="715"/>
      <c r="L81" s="711"/>
      <c r="M81" s="750"/>
      <c r="N81" s="750"/>
      <c r="O81" s="752"/>
      <c r="P81" s="752"/>
      <c r="Q81" s="752"/>
      <c r="R81" s="752"/>
      <c r="S81" s="752"/>
      <c r="T81" s="751"/>
      <c r="U81" s="713"/>
      <c r="V81" s="751"/>
      <c r="W81" s="751"/>
      <c r="X81" s="750"/>
      <c r="Y81" s="751"/>
      <c r="Z81" s="751"/>
      <c r="AA81" s="766"/>
    </row>
    <row r="82" spans="1:46" s="649" customFormat="1" ht="45.75" hidden="1" customHeight="1" x14ac:dyDescent="0.3">
      <c r="A82" s="764"/>
      <c r="B82" s="755"/>
      <c r="C82" s="728" t="s">
        <v>442</v>
      </c>
      <c r="D82" s="729"/>
      <c r="E82" s="730"/>
      <c r="F82" s="731"/>
      <c r="G82" s="732"/>
      <c r="H82" s="732"/>
      <c r="I82" s="733"/>
      <c r="J82" s="710"/>
      <c r="K82" s="715"/>
      <c r="L82" s="711"/>
      <c r="M82" s="750"/>
      <c r="N82" s="750"/>
      <c r="O82" s="752"/>
      <c r="P82" s="752"/>
      <c r="Q82" s="752"/>
      <c r="R82" s="752"/>
      <c r="S82" s="752"/>
      <c r="T82" s="751"/>
      <c r="U82" s="713"/>
      <c r="V82" s="751"/>
      <c r="W82" s="751"/>
      <c r="X82" s="750"/>
      <c r="Y82" s="751"/>
      <c r="Z82" s="751"/>
      <c r="AA82" s="766"/>
    </row>
    <row r="83" spans="1:46" s="649" customFormat="1" ht="24.75" hidden="1" customHeight="1" x14ac:dyDescent="0.3">
      <c r="A83" s="764">
        <v>62</v>
      </c>
      <c r="B83" s="755"/>
      <c r="C83" s="728"/>
      <c r="D83" s="729"/>
      <c r="E83" s="730"/>
      <c r="F83" s="731"/>
      <c r="G83" s="732"/>
      <c r="H83" s="732"/>
      <c r="I83" s="733">
        <v>20000</v>
      </c>
      <c r="J83" s="734"/>
      <c r="K83" s="715"/>
      <c r="L83" s="711"/>
      <c r="M83" s="750"/>
      <c r="N83" s="750"/>
      <c r="O83" s="752"/>
      <c r="P83" s="752"/>
      <c r="Q83" s="752"/>
      <c r="R83" s="752"/>
      <c r="S83" s="752"/>
      <c r="T83" s="751"/>
      <c r="U83" s="750"/>
      <c r="V83" s="751"/>
      <c r="W83" s="751"/>
      <c r="X83" s="750"/>
      <c r="Y83" s="751"/>
      <c r="Z83" s="751"/>
      <c r="AA83" s="766"/>
    </row>
    <row r="84" spans="1:46" s="649" customFormat="1" ht="22.5" hidden="1" customHeight="1" x14ac:dyDescent="0.3">
      <c r="A84" s="771">
        <v>63</v>
      </c>
      <c r="B84" s="658"/>
      <c r="C84" s="772" t="s">
        <v>443</v>
      </c>
      <c r="D84" s="773"/>
      <c r="E84" s="774"/>
      <c r="F84" s="775"/>
      <c r="G84" s="776"/>
      <c r="H84" s="776"/>
      <c r="I84" s="777">
        <v>5000</v>
      </c>
      <c r="J84" s="778"/>
      <c r="K84" s="779"/>
      <c r="L84" s="780"/>
      <c r="M84" s="781"/>
      <c r="N84" s="781"/>
      <c r="O84" s="782"/>
      <c r="P84" s="782"/>
      <c r="Q84" s="782"/>
      <c r="R84" s="782"/>
      <c r="S84" s="782"/>
      <c r="T84" s="783"/>
      <c r="U84" s="781"/>
      <c r="V84" s="783"/>
      <c r="W84" s="783"/>
      <c r="X84" s="781"/>
      <c r="Y84" s="783"/>
      <c r="Z84" s="783"/>
      <c r="AA84" s="784"/>
    </row>
    <row r="85" spans="1:46" s="633" customFormat="1" ht="19.5" customHeight="1" x14ac:dyDescent="0.35">
      <c r="A85" s="1044"/>
      <c r="B85" s="1046"/>
      <c r="C85" s="1048" t="s">
        <v>20</v>
      </c>
      <c r="D85" s="1048" t="s">
        <v>444</v>
      </c>
      <c r="E85" s="1050">
        <f>E16+E17+E49+E53+E72+E73+E74</f>
        <v>34.264000000000003</v>
      </c>
      <c r="F85" s="1050"/>
      <c r="G85" s="785"/>
      <c r="H85" s="1032"/>
      <c r="I85" s="1034">
        <f>I16+I17+I49+I53+I72+I74+I73</f>
        <v>954880.82299999997</v>
      </c>
      <c r="J85" s="1036"/>
      <c r="K85" s="786"/>
      <c r="L85" s="1081"/>
      <c r="M85" s="1083"/>
      <c r="N85" s="1083"/>
      <c r="O85" s="1083"/>
      <c r="P85" s="787"/>
      <c r="Q85" s="787"/>
      <c r="R85" s="787"/>
      <c r="S85" s="787"/>
      <c r="T85" s="788"/>
      <c r="U85" s="787"/>
      <c r="V85" s="788"/>
      <c r="W85" s="788"/>
      <c r="X85" s="787"/>
      <c r="Y85" s="788"/>
      <c r="Z85" s="788"/>
      <c r="AA85" s="1085"/>
    </row>
    <row r="86" spans="1:46" s="633" customFormat="1" ht="6.75" customHeight="1" thickBot="1" x14ac:dyDescent="0.4">
      <c r="A86" s="1045"/>
      <c r="B86" s="1047"/>
      <c r="C86" s="1049"/>
      <c r="D86" s="1049"/>
      <c r="E86" s="1051"/>
      <c r="F86" s="1051"/>
      <c r="G86" s="767"/>
      <c r="H86" s="1033"/>
      <c r="I86" s="1035"/>
      <c r="J86" s="1037"/>
      <c r="K86" s="768"/>
      <c r="L86" s="1082"/>
      <c r="M86" s="1084"/>
      <c r="N86" s="1084"/>
      <c r="O86" s="1084"/>
      <c r="P86" s="769"/>
      <c r="Q86" s="769"/>
      <c r="R86" s="770"/>
      <c r="S86" s="770"/>
      <c r="T86" s="769"/>
      <c r="U86" s="770"/>
      <c r="V86" s="769"/>
      <c r="W86" s="769"/>
      <c r="X86" s="769"/>
      <c r="Y86" s="769"/>
      <c r="Z86" s="769"/>
      <c r="AA86" s="1086"/>
    </row>
    <row r="87" spans="1:46" s="633" customFormat="1" ht="20.25" hidden="1" customHeight="1" x14ac:dyDescent="0.35">
      <c r="A87" s="650"/>
      <c r="B87" s="651"/>
      <c r="C87" s="652" t="s">
        <v>445</v>
      </c>
      <c r="D87" s="651" t="s">
        <v>405</v>
      </c>
      <c r="E87" s="1038">
        <v>77.5</v>
      </c>
      <c r="F87" s="1039"/>
      <c r="G87" s="651"/>
      <c r="H87" s="651"/>
      <c r="I87" s="653"/>
      <c r="J87" s="654"/>
      <c r="K87" s="631"/>
      <c r="L87" s="631"/>
      <c r="M87" s="631"/>
      <c r="N87" s="631"/>
      <c r="O87" s="631"/>
      <c r="P87" s="631"/>
      <c r="Q87" s="631"/>
      <c r="R87" s="632"/>
      <c r="S87" s="632"/>
      <c r="T87" s="632"/>
      <c r="U87" s="631"/>
      <c r="V87" s="631"/>
      <c r="W87" s="631"/>
      <c r="X87" s="631"/>
    </row>
    <row r="88" spans="1:46" s="633" customFormat="1" ht="20.25" hidden="1" customHeight="1" x14ac:dyDescent="0.35">
      <c r="A88" s="648"/>
      <c r="B88" s="643"/>
      <c r="C88" s="655" t="s">
        <v>446</v>
      </c>
      <c r="D88" s="643" t="s">
        <v>414</v>
      </c>
      <c r="E88" s="1040"/>
      <c r="F88" s="1041"/>
      <c r="G88" s="643"/>
      <c r="H88" s="643"/>
      <c r="I88" s="656"/>
      <c r="J88" s="657"/>
      <c r="K88" s="631"/>
      <c r="L88" s="631"/>
      <c r="M88" s="631"/>
      <c r="N88" s="631"/>
      <c r="O88" s="631"/>
      <c r="P88" s="631"/>
      <c r="Q88" s="631"/>
      <c r="R88" s="632"/>
      <c r="S88" s="632"/>
      <c r="T88" s="632"/>
      <c r="U88" s="631"/>
      <c r="V88" s="631"/>
      <c r="W88" s="631"/>
      <c r="X88" s="631"/>
    </row>
    <row r="89" spans="1:46" s="633" customFormat="1" ht="20.25" hidden="1" customHeight="1" thickBot="1" x14ac:dyDescent="0.4">
      <c r="A89" s="658"/>
      <c r="B89" s="659"/>
      <c r="C89" s="660" t="s">
        <v>447</v>
      </c>
      <c r="D89" s="659" t="s">
        <v>414</v>
      </c>
      <c r="E89" s="1042"/>
      <c r="F89" s="1043"/>
      <c r="G89" s="659"/>
      <c r="H89" s="659"/>
      <c r="I89" s="661"/>
      <c r="J89" s="662"/>
      <c r="K89" s="631"/>
      <c r="L89" s="631"/>
      <c r="M89" s="631"/>
      <c r="N89" s="631"/>
      <c r="O89" s="631"/>
      <c r="P89" s="631"/>
      <c r="Q89" s="631"/>
      <c r="R89" s="632"/>
      <c r="S89" s="632"/>
      <c r="T89" s="632"/>
      <c r="U89" s="631"/>
      <c r="V89" s="631"/>
      <c r="W89" s="631"/>
      <c r="X89" s="631"/>
    </row>
    <row r="90" spans="1:46" s="647" customFormat="1" ht="18.75" hidden="1" customHeight="1" x14ac:dyDescent="0.35">
      <c r="A90" s="663"/>
      <c r="B90" s="663"/>
      <c r="C90" s="664"/>
      <c r="D90" s="665"/>
      <c r="E90" s="666"/>
      <c r="F90" s="667"/>
      <c r="G90" s="668"/>
      <c r="H90" s="668"/>
      <c r="I90" s="669"/>
      <c r="J90" s="670"/>
      <c r="K90" s="671"/>
      <c r="L90" s="646"/>
      <c r="M90" s="646"/>
      <c r="N90" s="646"/>
      <c r="O90" s="646"/>
      <c r="P90" s="646"/>
      <c r="Q90" s="646"/>
      <c r="R90" s="672"/>
      <c r="S90" s="672"/>
      <c r="T90" s="672"/>
      <c r="U90" s="646"/>
      <c r="V90" s="646"/>
      <c r="W90" s="646"/>
      <c r="X90" s="646"/>
      <c r="Y90" s="645"/>
      <c r="Z90" s="645"/>
      <c r="AA90" s="645"/>
      <c r="AB90" s="645"/>
      <c r="AC90" s="645"/>
      <c r="AD90" s="645"/>
      <c r="AE90" s="645"/>
      <c r="AF90" s="645"/>
      <c r="AG90" s="645"/>
      <c r="AH90" s="645"/>
      <c r="AI90" s="645"/>
      <c r="AJ90" s="645"/>
      <c r="AK90" s="645"/>
      <c r="AL90" s="645"/>
      <c r="AM90" s="645"/>
      <c r="AN90" s="645"/>
      <c r="AO90" s="645"/>
      <c r="AP90" s="645"/>
      <c r="AQ90" s="645"/>
      <c r="AR90" s="646"/>
      <c r="AS90" s="646"/>
      <c r="AT90" s="646"/>
    </row>
    <row r="91" spans="1:46" s="647" customFormat="1" ht="18.75" hidden="1" customHeight="1" x14ac:dyDescent="0.35">
      <c r="A91" s="673"/>
      <c r="B91" s="673"/>
      <c r="D91" s="627"/>
      <c r="E91" s="629"/>
      <c r="F91" s="627"/>
      <c r="G91" s="627"/>
      <c r="H91" s="627"/>
      <c r="I91" s="674"/>
      <c r="J91" s="674"/>
      <c r="K91" s="671"/>
      <c r="L91" s="646"/>
      <c r="M91" s="646"/>
      <c r="N91" s="646"/>
      <c r="O91" s="646"/>
      <c r="P91" s="646"/>
      <c r="Q91" s="646"/>
      <c r="R91" s="672"/>
      <c r="S91" s="672"/>
      <c r="T91" s="672"/>
      <c r="U91" s="646"/>
      <c r="V91" s="646"/>
      <c r="W91" s="646"/>
      <c r="X91" s="646"/>
      <c r="Y91" s="645"/>
      <c r="Z91" s="645"/>
      <c r="AA91" s="645"/>
      <c r="AB91" s="645"/>
      <c r="AC91" s="645"/>
      <c r="AD91" s="645"/>
      <c r="AE91" s="645"/>
      <c r="AF91" s="645"/>
      <c r="AG91" s="645"/>
      <c r="AH91" s="645"/>
      <c r="AI91" s="645"/>
      <c r="AJ91" s="645"/>
      <c r="AK91" s="645"/>
      <c r="AL91" s="645"/>
      <c r="AM91" s="645"/>
      <c r="AN91" s="645"/>
      <c r="AO91" s="645"/>
      <c r="AP91" s="645"/>
      <c r="AQ91" s="645"/>
      <c r="AR91" s="646"/>
      <c r="AS91" s="646"/>
      <c r="AT91" s="646"/>
    </row>
    <row r="92" spans="1:46" s="647" customFormat="1" ht="18.75" hidden="1" customHeight="1" x14ac:dyDescent="0.35">
      <c r="A92" s="673"/>
      <c r="B92" s="673"/>
      <c r="C92" s="675"/>
      <c r="D92" s="627"/>
      <c r="E92" s="629"/>
      <c r="F92" s="627"/>
      <c r="G92" s="627"/>
      <c r="H92" s="627"/>
      <c r="I92" s="676"/>
      <c r="J92" s="676"/>
      <c r="K92" s="671"/>
      <c r="L92" s="646"/>
      <c r="M92" s="646"/>
      <c r="N92" s="646"/>
      <c r="O92" s="646"/>
      <c r="P92" s="646"/>
      <c r="Q92" s="646"/>
      <c r="R92" s="672"/>
      <c r="S92" s="672"/>
      <c r="T92" s="672"/>
      <c r="U92" s="646"/>
      <c r="V92" s="646"/>
      <c r="W92" s="646"/>
      <c r="X92" s="646"/>
      <c r="Y92" s="645"/>
      <c r="Z92" s="645"/>
      <c r="AA92" s="645"/>
      <c r="AB92" s="645"/>
      <c r="AC92" s="645"/>
      <c r="AD92" s="645"/>
      <c r="AE92" s="645"/>
      <c r="AF92" s="645"/>
      <c r="AG92" s="645"/>
      <c r="AH92" s="645"/>
      <c r="AI92" s="645"/>
      <c r="AJ92" s="645"/>
      <c r="AK92" s="645"/>
      <c r="AL92" s="645"/>
      <c r="AM92" s="645"/>
      <c r="AN92" s="645"/>
      <c r="AO92" s="645"/>
      <c r="AP92" s="645"/>
      <c r="AQ92" s="645"/>
      <c r="AR92" s="646"/>
      <c r="AS92" s="646"/>
      <c r="AT92" s="646"/>
    </row>
    <row r="93" spans="1:46" s="647" customFormat="1" ht="105" customHeight="1" x14ac:dyDescent="0.4">
      <c r="A93" s="673"/>
      <c r="B93" s="673"/>
      <c r="C93" s="677"/>
      <c r="D93" s="678"/>
      <c r="E93" s="679"/>
      <c r="F93" s="680"/>
      <c r="G93" s="678"/>
      <c r="H93" s="678"/>
      <c r="J93" s="681" t="s">
        <v>448</v>
      </c>
      <c r="K93" s="682"/>
      <c r="L93" s="682"/>
      <c r="M93" s="682"/>
      <c r="N93" s="646"/>
      <c r="O93" s="646"/>
      <c r="P93" s="646"/>
      <c r="Q93" s="646"/>
      <c r="R93" s="672"/>
      <c r="S93" s="672"/>
      <c r="T93" s="672"/>
      <c r="U93" s="646"/>
      <c r="V93" s="646"/>
      <c r="W93" s="646"/>
      <c r="X93" s="646"/>
      <c r="Y93" s="645"/>
      <c r="Z93" s="645"/>
      <c r="AA93" s="645"/>
      <c r="AB93" s="645"/>
      <c r="AC93" s="645"/>
      <c r="AD93" s="645"/>
      <c r="AE93" s="645"/>
      <c r="AF93" s="645"/>
      <c r="AG93" s="645"/>
      <c r="AH93" s="645"/>
      <c r="AI93" s="645"/>
      <c r="AJ93" s="645"/>
      <c r="AK93" s="645"/>
      <c r="AL93" s="645"/>
      <c r="AM93" s="645"/>
      <c r="AN93" s="645"/>
      <c r="AO93" s="645"/>
      <c r="AP93" s="645"/>
      <c r="AQ93" s="645"/>
      <c r="AR93" s="646"/>
      <c r="AS93" s="646"/>
      <c r="AT93" s="646"/>
    </row>
    <row r="94" spans="1:46" s="647" customFormat="1" ht="23.25" x14ac:dyDescent="0.35">
      <c r="A94" s="673"/>
      <c r="B94" s="673"/>
      <c r="C94" s="683"/>
      <c r="D94" s="684"/>
      <c r="E94" s="629"/>
      <c r="F94" s="627"/>
      <c r="G94" s="627"/>
      <c r="H94" s="627"/>
      <c r="I94" s="685"/>
      <c r="J94" s="686"/>
      <c r="K94" s="682"/>
      <c r="L94" s="682"/>
      <c r="M94" s="682"/>
      <c r="N94" s="646"/>
      <c r="O94" s="646"/>
      <c r="P94" s="646"/>
      <c r="Q94" s="646"/>
      <c r="R94" s="672"/>
      <c r="S94" s="646"/>
      <c r="T94" s="646"/>
      <c r="U94" s="646"/>
      <c r="V94" s="646"/>
      <c r="W94" s="646"/>
      <c r="X94" s="646"/>
      <c r="Y94" s="645"/>
      <c r="Z94" s="645"/>
      <c r="AA94" s="645"/>
      <c r="AB94" s="645"/>
      <c r="AC94" s="645"/>
      <c r="AD94" s="645"/>
      <c r="AE94" s="645"/>
      <c r="AF94" s="645"/>
      <c r="AG94" s="645"/>
      <c r="AH94" s="645"/>
      <c r="AI94" s="645"/>
      <c r="AJ94" s="645"/>
      <c r="AK94" s="645"/>
      <c r="AL94" s="645"/>
      <c r="AM94" s="645"/>
      <c r="AN94" s="645"/>
      <c r="AO94" s="645"/>
      <c r="AP94" s="645"/>
      <c r="AQ94" s="645"/>
      <c r="AR94" s="646"/>
      <c r="AS94" s="646"/>
      <c r="AT94" s="646"/>
    </row>
    <row r="95" spans="1:46" s="647" customFormat="1" ht="18.75" customHeight="1" x14ac:dyDescent="0.35">
      <c r="A95" s="673"/>
      <c r="B95" s="673"/>
      <c r="C95" s="687"/>
      <c r="D95" s="688"/>
      <c r="E95" s="689"/>
      <c r="F95" s="690"/>
      <c r="G95" s="690"/>
      <c r="H95" s="690"/>
      <c r="I95" s="685"/>
      <c r="J95" s="691"/>
      <c r="K95" s="682"/>
      <c r="L95" s="682"/>
      <c r="M95" s="682"/>
      <c r="N95" s="646"/>
      <c r="O95" s="646"/>
      <c r="P95" s="646"/>
      <c r="Q95" s="646"/>
      <c r="R95" s="672"/>
      <c r="S95" s="646"/>
      <c r="T95" s="646"/>
      <c r="U95" s="646"/>
      <c r="V95" s="646"/>
      <c r="W95" s="646"/>
      <c r="X95" s="646"/>
      <c r="Y95" s="645"/>
      <c r="Z95" s="645"/>
      <c r="AA95" s="645"/>
      <c r="AB95" s="645"/>
      <c r="AC95" s="645"/>
      <c r="AD95" s="645"/>
      <c r="AE95" s="645"/>
      <c r="AF95" s="645"/>
      <c r="AG95" s="645"/>
      <c r="AH95" s="645"/>
      <c r="AI95" s="645"/>
      <c r="AJ95" s="645"/>
      <c r="AK95" s="645"/>
      <c r="AL95" s="645"/>
      <c r="AM95" s="645"/>
      <c r="AN95" s="645"/>
      <c r="AO95" s="645"/>
      <c r="AP95" s="645"/>
      <c r="AQ95" s="645"/>
      <c r="AR95" s="646"/>
      <c r="AS95" s="646"/>
      <c r="AT95" s="646"/>
    </row>
    <row r="96" spans="1:46" s="647" customFormat="1" ht="28.5" customHeight="1" x14ac:dyDescent="0.35">
      <c r="A96" s="673"/>
      <c r="B96" s="673"/>
      <c r="C96" s="675"/>
      <c r="D96" s="688"/>
      <c r="E96" s="689"/>
      <c r="F96" s="690"/>
      <c r="G96" s="690"/>
      <c r="H96" s="690"/>
      <c r="I96" s="692"/>
      <c r="J96" s="691" t="s">
        <v>449</v>
      </c>
      <c r="K96" s="682"/>
      <c r="L96" s="682"/>
      <c r="M96" s="682"/>
      <c r="N96" s="646"/>
      <c r="O96" s="646"/>
      <c r="P96" s="646"/>
      <c r="Q96" s="646"/>
      <c r="R96" s="672"/>
      <c r="S96" s="646"/>
      <c r="T96" s="646"/>
      <c r="U96" s="646"/>
      <c r="V96" s="646"/>
      <c r="W96" s="693"/>
      <c r="X96" s="646"/>
      <c r="Y96" s="645"/>
      <c r="Z96" s="645"/>
      <c r="AA96" s="645"/>
      <c r="AB96" s="645"/>
      <c r="AC96" s="645"/>
      <c r="AD96" s="645"/>
      <c r="AE96" s="645"/>
      <c r="AF96" s="645"/>
      <c r="AG96" s="645"/>
      <c r="AH96" s="645"/>
      <c r="AI96" s="645"/>
      <c r="AJ96" s="645"/>
      <c r="AK96" s="645"/>
      <c r="AL96" s="645"/>
      <c r="AM96" s="645"/>
      <c r="AN96" s="645"/>
      <c r="AO96" s="645"/>
      <c r="AP96" s="645"/>
      <c r="AQ96" s="645"/>
      <c r="AR96" s="646"/>
      <c r="AS96" s="646"/>
      <c r="AT96" s="646"/>
    </row>
    <row r="97" spans="1:46" s="633" customFormat="1" ht="55.5" customHeight="1" x14ac:dyDescent="0.35">
      <c r="A97" s="627"/>
      <c r="B97" s="627"/>
      <c r="C97" s="675"/>
      <c r="D97" s="694"/>
      <c r="E97" s="695"/>
      <c r="F97" s="694"/>
      <c r="G97" s="694"/>
      <c r="H97" s="694"/>
      <c r="I97" s="696"/>
      <c r="J97" s="697" t="s">
        <v>450</v>
      </c>
      <c r="K97" s="698"/>
      <c r="L97" s="698"/>
      <c r="M97" s="698"/>
      <c r="N97" s="631"/>
      <c r="O97" s="631"/>
      <c r="P97" s="631"/>
      <c r="Q97" s="631"/>
      <c r="R97" s="632"/>
      <c r="S97" s="631"/>
      <c r="T97" s="631"/>
      <c r="U97" s="631"/>
      <c r="V97" s="631"/>
      <c r="W97" s="699"/>
      <c r="X97" s="631"/>
    </row>
    <row r="98" spans="1:46" s="633" customFormat="1" ht="18.75" customHeight="1" x14ac:dyDescent="0.35">
      <c r="A98" s="627"/>
      <c r="B98" s="627"/>
      <c r="D98" s="627"/>
      <c r="E98" s="629"/>
      <c r="F98" s="627"/>
      <c r="G98" s="627"/>
      <c r="H98" s="627"/>
      <c r="J98" s="699"/>
      <c r="K98" s="700"/>
      <c r="L98" s="631"/>
      <c r="M98" s="631"/>
      <c r="N98" s="631"/>
      <c r="O98" s="631"/>
      <c r="P98" s="631"/>
      <c r="Q98" s="631"/>
      <c r="R98" s="632"/>
      <c r="S98" s="631"/>
      <c r="T98" s="631"/>
      <c r="U98" s="631"/>
      <c r="V98" s="631"/>
      <c r="W98" s="699"/>
      <c r="X98" s="631"/>
    </row>
    <row r="99" spans="1:46" s="633" customFormat="1" ht="23.25" x14ac:dyDescent="0.35">
      <c r="A99" s="627"/>
      <c r="B99" s="627"/>
      <c r="D99" s="627"/>
      <c r="E99" s="629"/>
      <c r="F99" s="627"/>
      <c r="G99" s="627"/>
      <c r="H99" s="627"/>
      <c r="J99" s="701"/>
      <c r="K99" s="700"/>
      <c r="L99" s="631"/>
      <c r="M99" s="631"/>
      <c r="N99" s="631"/>
      <c r="O99" s="631"/>
      <c r="P99" s="631"/>
      <c r="Q99" s="631"/>
      <c r="R99" s="632"/>
      <c r="S99" s="631"/>
      <c r="T99" s="631"/>
      <c r="U99" s="631"/>
      <c r="V99" s="631"/>
      <c r="W99" s="701">
        <f>I85-W96</f>
        <v>954880.82299999997</v>
      </c>
      <c r="X99" s="631"/>
    </row>
    <row r="100" spans="1:46" s="633" customFormat="1" ht="116.25" hidden="1" x14ac:dyDescent="0.35">
      <c r="A100" s="627"/>
      <c r="B100" s="627"/>
      <c r="C100" s="702" t="s">
        <v>451</v>
      </c>
      <c r="D100" s="703" t="s">
        <v>414</v>
      </c>
      <c r="E100" s="629"/>
      <c r="F100" s="704">
        <v>8.5</v>
      </c>
      <c r="G100" s="627"/>
      <c r="H100" s="627"/>
      <c r="I100" s="705">
        <v>6897.48</v>
      </c>
      <c r="J100" s="702" t="s">
        <v>452</v>
      </c>
      <c r="K100" s="700"/>
      <c r="L100" s="631"/>
      <c r="M100" s="631"/>
      <c r="N100" s="631"/>
      <c r="O100" s="631"/>
      <c r="P100" s="631"/>
      <c r="Q100" s="631"/>
      <c r="R100" s="632"/>
      <c r="S100" s="631"/>
      <c r="T100" s="631"/>
      <c r="U100" s="631"/>
      <c r="V100" s="631"/>
      <c r="W100" s="631"/>
      <c r="X100" s="631"/>
    </row>
    <row r="101" spans="1:46" s="633" customFormat="1" ht="116.25" hidden="1" x14ac:dyDescent="0.35">
      <c r="A101" s="627"/>
      <c r="B101" s="627"/>
      <c r="C101" s="702" t="s">
        <v>453</v>
      </c>
      <c r="D101" s="703" t="s">
        <v>414</v>
      </c>
      <c r="E101" s="706"/>
      <c r="F101" s="704">
        <v>8.5</v>
      </c>
      <c r="G101" s="707"/>
      <c r="H101" s="707"/>
      <c r="I101" s="705">
        <v>7059.74</v>
      </c>
      <c r="J101" s="702" t="s">
        <v>452</v>
      </c>
      <c r="K101" s="700"/>
      <c r="L101" s="631"/>
      <c r="M101" s="631"/>
      <c r="N101" s="631"/>
      <c r="O101" s="631"/>
      <c r="P101" s="631"/>
      <c r="Q101" s="631"/>
      <c r="R101" s="632"/>
      <c r="S101" s="631"/>
      <c r="T101" s="631"/>
      <c r="U101" s="631"/>
      <c r="V101" s="631"/>
      <c r="W101" s="631"/>
      <c r="X101" s="631"/>
    </row>
    <row r="102" spans="1:46" s="633" customFormat="1" ht="116.25" hidden="1" x14ac:dyDescent="0.35">
      <c r="A102" s="627"/>
      <c r="B102" s="627"/>
      <c r="C102" s="702" t="s">
        <v>454</v>
      </c>
      <c r="D102" s="703" t="s">
        <v>414</v>
      </c>
      <c r="E102" s="706"/>
      <c r="F102" s="704">
        <v>14.55</v>
      </c>
      <c r="G102" s="707"/>
      <c r="H102" s="707"/>
      <c r="I102" s="705">
        <v>10108.86</v>
      </c>
      <c r="J102" s="702" t="s">
        <v>452</v>
      </c>
      <c r="K102" s="700"/>
      <c r="L102" s="631"/>
      <c r="M102" s="631"/>
      <c r="N102" s="631"/>
      <c r="O102" s="631"/>
      <c r="P102" s="631"/>
      <c r="Q102" s="631"/>
      <c r="R102" s="632"/>
      <c r="S102" s="631"/>
      <c r="T102" s="631"/>
      <c r="U102" s="631"/>
      <c r="V102" s="631"/>
      <c r="W102" s="631"/>
      <c r="X102" s="631"/>
    </row>
    <row r="103" spans="1:46" s="633" customFormat="1" ht="116.25" hidden="1" x14ac:dyDescent="0.35">
      <c r="A103" s="627"/>
      <c r="B103" s="627"/>
      <c r="C103" s="702" t="s">
        <v>455</v>
      </c>
      <c r="D103" s="703" t="s">
        <v>414</v>
      </c>
      <c r="E103" s="629"/>
      <c r="F103" s="704">
        <v>8.5</v>
      </c>
      <c r="G103" s="627"/>
      <c r="H103" s="627"/>
      <c r="I103" s="705">
        <v>7836.4</v>
      </c>
      <c r="J103" s="702" t="s">
        <v>452</v>
      </c>
      <c r="K103" s="700"/>
      <c r="L103" s="631"/>
      <c r="M103" s="631"/>
      <c r="N103" s="631"/>
      <c r="O103" s="631"/>
      <c r="P103" s="631"/>
      <c r="Q103" s="631"/>
      <c r="R103" s="632"/>
      <c r="S103" s="631"/>
      <c r="T103" s="631"/>
      <c r="U103" s="631"/>
      <c r="V103" s="631"/>
      <c r="W103" s="631"/>
      <c r="X103" s="631"/>
    </row>
    <row r="104" spans="1:46" s="633" customFormat="1" ht="139.5" hidden="1" x14ac:dyDescent="0.35">
      <c r="A104" s="627"/>
      <c r="B104" s="627"/>
      <c r="C104" s="702" t="s">
        <v>456</v>
      </c>
      <c r="D104" s="703" t="s">
        <v>414</v>
      </c>
      <c r="E104" s="629"/>
      <c r="F104" s="704">
        <v>26.65</v>
      </c>
      <c r="G104" s="627"/>
      <c r="H104" s="627"/>
      <c r="I104" s="705">
        <v>10262.39</v>
      </c>
      <c r="J104" s="702" t="s">
        <v>457</v>
      </c>
      <c r="K104" s="700"/>
      <c r="L104" s="631"/>
      <c r="M104" s="631"/>
      <c r="N104" s="631"/>
      <c r="O104" s="631"/>
      <c r="P104" s="631"/>
      <c r="Q104" s="631"/>
      <c r="R104" s="632"/>
      <c r="S104" s="631"/>
      <c r="T104" s="631"/>
      <c r="U104" s="631"/>
      <c r="V104" s="631"/>
      <c r="W104" s="631"/>
      <c r="X104" s="631"/>
    </row>
    <row r="105" spans="1:46" s="633" customFormat="1" ht="23.25" hidden="1" x14ac:dyDescent="0.35">
      <c r="A105" s="627"/>
      <c r="B105" s="627"/>
      <c r="C105" s="628"/>
      <c r="D105" s="628"/>
      <c r="E105" s="629"/>
      <c r="F105" s="627"/>
      <c r="G105" s="627"/>
      <c r="H105" s="627"/>
      <c r="I105" s="630"/>
      <c r="J105" s="630"/>
      <c r="K105" s="700"/>
      <c r="L105" s="631"/>
      <c r="M105" s="631"/>
      <c r="N105" s="631"/>
      <c r="O105" s="631"/>
      <c r="P105" s="631"/>
      <c r="Q105" s="631"/>
      <c r="R105" s="632"/>
      <c r="S105" s="631"/>
      <c r="T105" s="631"/>
      <c r="U105" s="631"/>
      <c r="V105" s="631"/>
      <c r="W105" s="631"/>
      <c r="X105" s="631"/>
    </row>
    <row r="106" spans="1:46" s="633" customFormat="1" ht="23.25" hidden="1" x14ac:dyDescent="0.35">
      <c r="A106" s="627"/>
      <c r="B106" s="627"/>
      <c r="C106" s="628"/>
      <c r="D106" s="628"/>
      <c r="E106" s="629"/>
      <c r="F106" s="627"/>
      <c r="G106" s="627"/>
      <c r="H106" s="627"/>
      <c r="I106" s="630"/>
      <c r="J106" s="630"/>
      <c r="K106" s="700"/>
      <c r="L106" s="631"/>
      <c r="M106" s="631"/>
      <c r="N106" s="631"/>
      <c r="O106" s="631"/>
      <c r="P106" s="631"/>
      <c r="Q106" s="631"/>
      <c r="R106" s="632"/>
      <c r="S106" s="631"/>
      <c r="T106" s="631"/>
      <c r="U106" s="631"/>
      <c r="V106" s="631"/>
      <c r="W106" s="631"/>
      <c r="X106" s="631"/>
    </row>
    <row r="107" spans="1:46" s="633" customFormat="1" ht="23.25" hidden="1" x14ac:dyDescent="0.35">
      <c r="A107" s="627"/>
      <c r="B107" s="627"/>
      <c r="C107" s="628"/>
      <c r="D107" s="628"/>
      <c r="E107" s="629"/>
      <c r="F107" s="627"/>
      <c r="G107" s="627"/>
      <c r="H107" s="627"/>
      <c r="I107" s="630"/>
      <c r="J107" s="630"/>
      <c r="K107" s="700"/>
      <c r="L107" s="631"/>
      <c r="M107" s="631"/>
      <c r="N107" s="631"/>
      <c r="O107" s="631"/>
      <c r="P107" s="631"/>
      <c r="Q107" s="631"/>
      <c r="R107" s="632"/>
      <c r="S107" s="631"/>
      <c r="T107" s="631"/>
      <c r="U107" s="631"/>
      <c r="V107" s="631"/>
      <c r="W107" s="631"/>
      <c r="X107" s="631"/>
    </row>
    <row r="108" spans="1:46" s="633" customFormat="1" ht="23.25" hidden="1" x14ac:dyDescent="0.35">
      <c r="A108" s="627"/>
      <c r="B108" s="627"/>
      <c r="C108" s="628"/>
      <c r="D108" s="628"/>
      <c r="E108" s="629"/>
      <c r="F108" s="627"/>
      <c r="G108" s="627"/>
      <c r="H108" s="627"/>
      <c r="I108" s="630"/>
      <c r="J108" s="630"/>
      <c r="K108" s="700"/>
      <c r="L108" s="631"/>
      <c r="M108" s="631"/>
      <c r="N108" s="631"/>
      <c r="O108" s="631"/>
      <c r="P108" s="631"/>
      <c r="Q108" s="631"/>
      <c r="R108" s="632"/>
      <c r="S108" s="631"/>
      <c r="T108" s="631"/>
      <c r="U108" s="631"/>
      <c r="V108" s="631"/>
      <c r="W108" s="631"/>
      <c r="X108" s="631"/>
    </row>
    <row r="109" spans="1:46" s="633" customFormat="1" ht="23.25" x14ac:dyDescent="0.35">
      <c r="A109" s="627"/>
      <c r="B109" s="627"/>
      <c r="C109" s="628"/>
      <c r="D109" s="628"/>
      <c r="E109" s="629"/>
      <c r="F109" s="627"/>
      <c r="G109" s="627"/>
      <c r="H109" s="627"/>
      <c r="I109" s="630"/>
      <c r="J109" s="630"/>
      <c r="K109" s="700"/>
      <c r="L109" s="631"/>
      <c r="M109" s="631"/>
      <c r="N109" s="631"/>
      <c r="O109" s="631"/>
      <c r="P109" s="631"/>
      <c r="Q109" s="631"/>
      <c r="R109" s="632"/>
      <c r="S109" s="631"/>
      <c r="T109" s="631"/>
      <c r="U109" s="631"/>
      <c r="V109" s="631"/>
      <c r="W109" s="631"/>
      <c r="X109" s="631"/>
    </row>
    <row r="110" spans="1:46" ht="23.25" x14ac:dyDescent="0.35">
      <c r="A110" s="627"/>
      <c r="B110" s="627"/>
      <c r="C110" s="628"/>
      <c r="D110" s="628"/>
      <c r="E110" s="629"/>
      <c r="F110" s="627"/>
      <c r="G110" s="627"/>
      <c r="H110" s="627"/>
      <c r="I110" s="630"/>
      <c r="J110" s="630"/>
      <c r="K110" s="700"/>
      <c r="L110" s="631"/>
      <c r="M110" s="631"/>
      <c r="N110" s="631"/>
      <c r="O110" s="631"/>
      <c r="P110" s="631"/>
      <c r="Q110" s="631"/>
      <c r="R110" s="632"/>
      <c r="S110" s="631"/>
      <c r="T110" s="631"/>
      <c r="U110" s="631"/>
      <c r="V110" s="631"/>
      <c r="W110" s="631"/>
      <c r="X110" s="631"/>
      <c r="Y110" s="633"/>
      <c r="Z110" s="633"/>
      <c r="AA110" s="633"/>
      <c r="AB110" s="633"/>
      <c r="AC110" s="633"/>
      <c r="AD110" s="633"/>
      <c r="AE110" s="633"/>
      <c r="AF110" s="633"/>
      <c r="AG110" s="633"/>
      <c r="AH110" s="633"/>
      <c r="AI110" s="633"/>
      <c r="AJ110" s="633"/>
      <c r="AK110" s="633"/>
      <c r="AL110" s="633"/>
      <c r="AM110" s="633"/>
      <c r="AN110" s="633"/>
      <c r="AO110" s="633"/>
      <c r="AP110" s="633"/>
      <c r="AQ110" s="633"/>
      <c r="AR110" s="633"/>
      <c r="AS110" s="633"/>
      <c r="AT110" s="633"/>
    </row>
  </sheetData>
  <mergeCells count="50">
    <mergeCell ref="L85:L86"/>
    <mergeCell ref="M85:M86"/>
    <mergeCell ref="N85:N86"/>
    <mergeCell ref="O85:O86"/>
    <mergeCell ref="AA85:AA86"/>
    <mergeCell ref="A12:A14"/>
    <mergeCell ref="B12:B14"/>
    <mergeCell ref="C12:C14"/>
    <mergeCell ref="D12:D14"/>
    <mergeCell ref="E12:H14"/>
    <mergeCell ref="S2:AA2"/>
    <mergeCell ref="X7:AA7"/>
    <mergeCell ref="N3:AA3"/>
    <mergeCell ref="A9:AA9"/>
    <mergeCell ref="A10:AA10"/>
    <mergeCell ref="U13:U14"/>
    <mergeCell ref="I12:I14"/>
    <mergeCell ref="J12:J14"/>
    <mergeCell ref="K12:K14"/>
    <mergeCell ref="L12:O12"/>
    <mergeCell ref="P12:Q12"/>
    <mergeCell ref="R12:S12"/>
    <mergeCell ref="AA12:AA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T12:U12"/>
    <mergeCell ref="V12:V14"/>
    <mergeCell ref="W12:W14"/>
    <mergeCell ref="X12:X14"/>
    <mergeCell ref="Y12:Y14"/>
    <mergeCell ref="Z12:Z14"/>
    <mergeCell ref="E89:F89"/>
    <mergeCell ref="A85:A86"/>
    <mergeCell ref="B85:B86"/>
    <mergeCell ref="C85:C86"/>
    <mergeCell ref="D85:D86"/>
    <mergeCell ref="E85:E86"/>
    <mergeCell ref="F85:F86"/>
    <mergeCell ref="H85:H86"/>
    <mergeCell ref="I85:I86"/>
    <mergeCell ref="J85:J86"/>
    <mergeCell ref="E87:F87"/>
    <mergeCell ref="E88:F88"/>
  </mergeCells>
  <pageMargins left="0.27559055118110237" right="0.15748031496062992" top="0.27559055118110237" bottom="0.19685039370078741" header="0.15748031496062992" footer="0.15748031496062992"/>
  <pageSetup paperSize="9" scale="36" orientation="portrait" r:id="rId1"/>
  <rowBreaks count="1" manualBreakCount="1">
    <brk id="52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Проект программы 21-23</vt:lpstr>
      <vt:lpstr>БКАД</vt:lpstr>
      <vt:lpstr>ДОРОЖНЫЙ ПРИЗЫВ</vt:lpstr>
      <vt:lpstr>План закупок 2021</vt:lpstr>
      <vt:lpstr>'ДОРОЖНЫЙ ПРИЗЫВ'!Заголовки_для_печати</vt:lpstr>
      <vt:lpstr>'План закупок 2021'!Заголовки_для_печати</vt:lpstr>
      <vt:lpstr>'Проект программы 21-23'!Заголовки_для_печати</vt:lpstr>
      <vt:lpstr>БКАД!Область_печати</vt:lpstr>
      <vt:lpstr>'ДОРОЖНЫЙ ПРИЗЫВ'!Область_печати</vt:lpstr>
      <vt:lpstr>'План закупок 2021'!Область_печати</vt:lpstr>
      <vt:lpstr>'Проект программы 21-23'!Область_печати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 и поля</dc:creator>
  <cp:lastModifiedBy>Наталья Витальевна Волынская (PK1166 - u66)</cp:lastModifiedBy>
  <cp:lastPrinted>2021-07-08T05:01:47Z</cp:lastPrinted>
  <dcterms:created xsi:type="dcterms:W3CDTF">2020-10-18T07:47:47Z</dcterms:created>
  <dcterms:modified xsi:type="dcterms:W3CDTF">2022-04-13T06:27:31Z</dcterms:modified>
</cp:coreProperties>
</file>